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120" yWindow="60" windowWidth="15180" windowHeight="9345" activeTab="0"/>
  </bookViews>
  <sheets>
    <sheet name="AUF DIE SCHNELLE" sheetId="1" r:id="rId1"/>
  </sheets>
  <definedNames>
    <definedName name="_xlnm.Print_Area" localSheetId="0">'AUF DIE SCHNELLE'!$A$1:$AS$40</definedName>
  </definedNames>
  <calcPr fullCalcOnLoad="1"/>
</workbook>
</file>

<file path=xl/comments1.xml><?xml version="1.0" encoding="utf-8"?>
<comments xmlns="http://schemas.openxmlformats.org/spreadsheetml/2006/main">
  <authors>
    <author>Wolfgang R?ther</author>
  </authors>
  <commentList>
    <comment ref="E9" authorId="0">
      <text>
        <r>
          <rPr>
            <sz val="8"/>
            <rFont val="Tahoma"/>
            <family val="0"/>
          </rPr>
          <t xml:space="preserve">Ihr Alter heute
</t>
        </r>
      </text>
    </comment>
    <comment ref="Q9" authorId="0">
      <text>
        <r>
          <rPr>
            <sz val="8"/>
            <rFont val="Tahoma"/>
            <family val="0"/>
          </rPr>
          <t xml:space="preserve">
geplanter Renten/Ruhe-
standsbeginn mit
</t>
        </r>
      </text>
    </comment>
    <comment ref="X9" authorId="0">
      <text>
        <r>
          <rPr>
            <sz val="8"/>
            <rFont val="Tahoma"/>
            <family val="0"/>
          </rPr>
          <t xml:space="preserve">
Das Kapital soll bis zum 
Alter von     reichen</t>
        </r>
      </text>
    </comment>
    <comment ref="Q11" authorId="0">
      <text>
        <r>
          <rPr>
            <sz val="8"/>
            <rFont val="Tahoma"/>
            <family val="2"/>
          </rPr>
          <t>Hier geben Sie die gewünschte Rentenhöhe ein. 
Gesetzliche (BfA-) Rente und andere Renten sind zu berücksichtigen</t>
        </r>
        <r>
          <rPr>
            <sz val="8"/>
            <rFont val="Tahoma"/>
            <family val="0"/>
          </rPr>
          <t xml:space="preserve">
</t>
        </r>
      </text>
    </comment>
    <comment ref="E20" authorId="0">
      <text>
        <r>
          <rPr>
            <sz val="8"/>
            <rFont val="Tahoma"/>
            <family val="2"/>
          </rPr>
          <t>wieviel Kapital ist heute schon zur Verfügung und kann weiter angelegt werden?</t>
        </r>
        <r>
          <rPr>
            <sz val="8"/>
            <rFont val="Tahoma"/>
            <family val="0"/>
          </rPr>
          <t xml:space="preserve">
</t>
        </r>
      </text>
    </comment>
    <comment ref="E24" authorId="0">
      <text>
        <r>
          <rPr>
            <sz val="8"/>
            <rFont val="Tahoma"/>
            <family val="2"/>
          </rPr>
          <t xml:space="preserve">soviel sparen Sie bereits heute monatlich und halten dies auch durch
</t>
        </r>
      </text>
    </comment>
    <comment ref="L24" authorId="0">
      <text>
        <r>
          <rPr>
            <sz val="8"/>
            <rFont val="Tahoma"/>
            <family val="2"/>
          </rPr>
          <t>Ihre Sparraten erhöhen sich jedes Jahr um diesen %-Satz</t>
        </r>
        <r>
          <rPr>
            <sz val="8"/>
            <rFont val="Tahoma"/>
            <family val="0"/>
          </rPr>
          <t xml:space="preserve">
</t>
        </r>
      </text>
    </comment>
    <comment ref="X20" authorId="0">
      <text>
        <r>
          <rPr>
            <sz val="8"/>
            <rFont val="Tahoma"/>
            <family val="2"/>
          </rPr>
          <t>Hier ist inzugeben,wieviel Kapital noch übrig sein soll.</t>
        </r>
        <r>
          <rPr>
            <sz val="8"/>
            <rFont val="Tahoma"/>
            <family val="0"/>
          </rPr>
          <t xml:space="preserve">
</t>
        </r>
      </text>
    </comment>
    <comment ref="AL12" authorId="0">
      <text>
        <r>
          <rPr>
            <sz val="8"/>
            <rFont val="Tahoma"/>
            <family val="2"/>
          </rPr>
          <t>angenommene Verzinsung</t>
        </r>
        <r>
          <rPr>
            <sz val="8"/>
            <rFont val="Tahoma"/>
            <family val="0"/>
          </rPr>
          <t xml:space="preserve">
</t>
        </r>
      </text>
    </comment>
    <comment ref="AL15" authorId="0">
      <text>
        <r>
          <rPr>
            <sz val="8"/>
            <rFont val="Tahoma"/>
            <family val="2"/>
          </rPr>
          <t>angenommene Verzinsung</t>
        </r>
        <r>
          <rPr>
            <sz val="8"/>
            <rFont val="Tahoma"/>
            <family val="0"/>
          </rPr>
          <t xml:space="preserve">
</t>
        </r>
      </text>
    </comment>
    <comment ref="AL18" authorId="0">
      <text>
        <r>
          <rPr>
            <sz val="8"/>
            <rFont val="Tahoma"/>
            <family val="2"/>
          </rPr>
          <t>angenommene Inflationsrate</t>
        </r>
        <r>
          <rPr>
            <sz val="8"/>
            <rFont val="Tahoma"/>
            <family val="0"/>
          </rPr>
          <t xml:space="preserve">
</t>
        </r>
      </text>
    </comment>
    <comment ref="AL22" authorId="0">
      <text>
        <r>
          <rPr>
            <sz val="8"/>
            <rFont val="Tahoma"/>
            <family val="2"/>
          </rPr>
          <t>In diesen Feldern sind Eingaben möglich. Die anderen Felder errechnen sich automatisch.</t>
        </r>
        <r>
          <rPr>
            <sz val="8"/>
            <rFont val="Tahoma"/>
            <family val="0"/>
          </rPr>
          <t xml:space="preserve">
</t>
        </r>
      </text>
    </comment>
    <comment ref="Q15" authorId="0">
      <text>
        <r>
          <rPr>
            <sz val="8"/>
            <rFont val="Tahoma"/>
            <family val="2"/>
          </rPr>
          <t>z.B. aus Kapital-lebensversicherungen
oder Rentenversicherungen</t>
        </r>
      </text>
    </comment>
  </commentList>
</comments>
</file>

<file path=xl/sharedStrings.xml><?xml version="1.0" encoding="utf-8"?>
<sst xmlns="http://schemas.openxmlformats.org/spreadsheetml/2006/main" count="53" uniqueCount="46">
  <si>
    <t>Jahr</t>
  </si>
  <si>
    <t>Gewünschte monatliche Rente</t>
  </si>
  <si>
    <t>Erforderliches Anlagevermögen</t>
  </si>
  <si>
    <t>Ihr Alter heute</t>
  </si>
  <si>
    <t>Ruhestand mit</t>
  </si>
  <si>
    <t>Rente bis</t>
  </si>
  <si>
    <t>Vermögen heute</t>
  </si>
  <si>
    <t>Inflation in % p.a.</t>
  </si>
  <si>
    <t>mtl. Sparrate heute</t>
  </si>
  <si>
    <t>zusätzlich erford.</t>
  </si>
  <si>
    <t>Sparrate</t>
  </si>
  <si>
    <t>Reserve</t>
  </si>
  <si>
    <t xml:space="preserve">angenommene </t>
  </si>
  <si>
    <t xml:space="preserve">Rendite in der </t>
  </si>
  <si>
    <t>Ansparphase</t>
  </si>
  <si>
    <t>Verbrauchsphase:</t>
  </si>
  <si>
    <t>ZW-Sparkapital</t>
  </si>
  <si>
    <t>Rente</t>
  </si>
  <si>
    <t>Dynamik</t>
  </si>
  <si>
    <t>Zins</t>
  </si>
  <si>
    <t>nom.</t>
  </si>
  <si>
    <t>eff.</t>
  </si>
  <si>
    <t xml:space="preserve">Barwert bei Laufzeit von </t>
  </si>
  <si>
    <t xml:space="preserve">Jahren = </t>
  </si>
  <si>
    <t>Anwartschaft</t>
  </si>
  <si>
    <t>Zahlung</t>
  </si>
  <si>
    <t>Faktor</t>
  </si>
  <si>
    <t>Barwerte</t>
  </si>
  <si>
    <t xml:space="preserve">  EUR Geldwert heute</t>
  </si>
  <si>
    <t xml:space="preserve">  EUR nominal Ende Ruhestand</t>
  </si>
  <si>
    <t>aus Raten</t>
  </si>
  <si>
    <t>aus Endwert</t>
  </si>
  <si>
    <t xml:space="preserve">  EUR nominal Beginn Ruhestand</t>
  </si>
  <si>
    <t>Ledig</t>
  </si>
  <si>
    <t>verheiratet</t>
  </si>
  <si>
    <t>Zuwachs Einmalkap</t>
  </si>
  <si>
    <t>Steuer 25%</t>
  </si>
  <si>
    <t>Steuer gesamt</t>
  </si>
  <si>
    <t>* Steuern auf Zinserträge sind in diesem vereinfachten Beispiel nicht berücksichtigt    |    unverbindliche Modellrechnung    |</t>
  </si>
  <si>
    <t>So ein Feld</t>
  </si>
  <si>
    <t>erlaubt Eingaben</t>
  </si>
  <si>
    <t>im Jahr</t>
  </si>
  <si>
    <t xml:space="preserve">wir sind in </t>
  </si>
  <si>
    <t>zu erwartendes Vermögen</t>
  </si>
  <si>
    <t>hier geht`s</t>
  </si>
  <si>
    <t>zurück</t>
  </si>
</sst>
</file>

<file path=xl/styles.xml><?xml version="1.0" encoding="utf-8"?>
<styleSheet xmlns="http://schemas.openxmlformats.org/spreadsheetml/2006/main">
  <numFmts count="2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0.0"/>
    <numFmt numFmtId="174" formatCode="#,##0\ &quot;€&quot;"/>
    <numFmt numFmtId="175" formatCode="#,##0.00\ _€"/>
    <numFmt numFmtId="176" formatCode="#,##0.00_ ;\-#,##0.00\ "/>
    <numFmt numFmtId="177" formatCode="#,##0.0\ &quot;€&quot;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dd/mm/yy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hair">
        <color indexed="10"/>
      </right>
      <top style="thin">
        <color indexed="10"/>
      </top>
      <bottom style="thin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2" borderId="1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167" fontId="0" fillId="0" borderId="0" xfId="0" applyNumberFormat="1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10" fontId="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5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" borderId="0" xfId="0" applyFont="1" applyFill="1" applyAlignment="1" applyProtection="1">
      <alignment/>
      <protection hidden="1"/>
    </xf>
    <xf numFmtId="0" fontId="0" fillId="3" borderId="1" xfId="0" applyFont="1" applyFill="1" applyBorder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0" fontId="0" fillId="4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0" fontId="0" fillId="0" borderId="0" xfId="0" applyNumberFormat="1" applyAlignment="1" applyProtection="1">
      <alignment horizontal="center"/>
      <protection hidden="1"/>
    </xf>
    <xf numFmtId="172" fontId="0" fillId="0" borderId="0" xfId="0" applyNumberFormat="1" applyFont="1" applyAlignment="1" applyProtection="1">
      <alignment horizontal="center"/>
      <protection hidden="1"/>
    </xf>
    <xf numFmtId="10" fontId="0" fillId="0" borderId="0" xfId="0" applyNumberFormat="1" applyAlignment="1" applyProtection="1">
      <alignment/>
      <protection hidden="1"/>
    </xf>
    <xf numFmtId="175" fontId="0" fillId="0" borderId="0" xfId="0" applyNumberFormat="1" applyFont="1" applyAlignment="1" applyProtection="1">
      <alignment/>
      <protection hidden="1"/>
    </xf>
    <xf numFmtId="176" fontId="0" fillId="0" borderId="0" xfId="16" applyNumberFormat="1" applyAlignment="1" applyProtection="1">
      <alignment horizontal="right"/>
      <protection hidden="1"/>
    </xf>
    <xf numFmtId="0" fontId="0" fillId="5" borderId="0" xfId="0" applyFill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4" fontId="0" fillId="0" borderId="0" xfId="0" applyNumberFormat="1" applyFont="1" applyAlignment="1" applyProtection="1">
      <alignment/>
      <protection hidden="1"/>
    </xf>
    <xf numFmtId="4" fontId="0" fillId="5" borderId="0" xfId="0" applyNumberFormat="1" applyFill="1" applyAlignment="1" applyProtection="1">
      <alignment horizontal="center"/>
      <protection hidden="1"/>
    </xf>
    <xf numFmtId="0" fontId="0" fillId="5" borderId="0" xfId="0" applyFont="1" applyFill="1" applyAlignment="1" applyProtection="1">
      <alignment horizontal="center"/>
      <protection hidden="1"/>
    </xf>
    <xf numFmtId="0" fontId="0" fillId="5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vertical="center"/>
      <protection hidden="1"/>
    </xf>
    <xf numFmtId="0" fontId="0" fillId="4" borderId="0" xfId="0" applyFont="1" applyFill="1" applyAlignment="1" applyProtection="1">
      <alignment vertical="center"/>
      <protection hidden="1"/>
    </xf>
    <xf numFmtId="2" fontId="0" fillId="0" borderId="0" xfId="0" applyNumberFormat="1" applyFont="1" applyAlignment="1" applyProtection="1">
      <alignment vertical="center"/>
      <protection hidden="1"/>
    </xf>
    <xf numFmtId="4" fontId="0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4" fontId="0" fillId="0" borderId="0" xfId="0" applyNumberFormat="1" applyAlignment="1" applyProtection="1">
      <alignment horizontal="center" vertical="center"/>
      <protection hidden="1"/>
    </xf>
    <xf numFmtId="167" fontId="0" fillId="0" borderId="0" xfId="0" applyNumberFormat="1" applyAlignment="1" applyProtection="1">
      <alignment vertical="center"/>
      <protection hidden="1"/>
    </xf>
    <xf numFmtId="172" fontId="0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6" fontId="0" fillId="0" borderId="0" xfId="16" applyNumberFormat="1" applyFont="1" applyAlignment="1" applyProtection="1">
      <alignment/>
      <protection hidden="1"/>
    </xf>
    <xf numFmtId="4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72" fontId="0" fillId="0" borderId="0" xfId="0" applyNumberFormat="1" applyFont="1" applyAlignment="1" applyProtection="1">
      <alignment/>
      <protection hidden="1"/>
    </xf>
    <xf numFmtId="172" fontId="0" fillId="3" borderId="0" xfId="0" applyNumberFormat="1" applyFont="1" applyFill="1" applyBorder="1" applyAlignment="1" applyProtection="1">
      <alignment horizontal="center"/>
      <protection hidden="1"/>
    </xf>
    <xf numFmtId="172" fontId="0" fillId="6" borderId="2" xfId="0" applyNumberFormat="1" applyFont="1" applyFill="1" applyBorder="1" applyAlignment="1" applyProtection="1">
      <alignment horizontal="center"/>
      <protection hidden="1"/>
    </xf>
    <xf numFmtId="172" fontId="0" fillId="6" borderId="0" xfId="0" applyNumberFormat="1" applyFont="1" applyFill="1" applyBorder="1" applyAlignment="1" applyProtection="1">
      <alignment horizontal="center"/>
      <protection hidden="1"/>
    </xf>
    <xf numFmtId="172" fontId="0" fillId="6" borderId="3" xfId="0" applyNumberFormat="1" applyFont="1" applyFill="1" applyBorder="1" applyAlignment="1" applyProtection="1">
      <alignment horizontal="center"/>
      <protection hidden="1"/>
    </xf>
    <xf numFmtId="0" fontId="0" fillId="6" borderId="2" xfId="0" applyFont="1" applyFill="1" applyBorder="1" applyAlignment="1" applyProtection="1">
      <alignment horizontal="center"/>
      <protection hidden="1"/>
    </xf>
    <xf numFmtId="0" fontId="0" fillId="6" borderId="0" xfId="0" applyFont="1" applyFill="1" applyBorder="1" applyAlignment="1" applyProtection="1">
      <alignment horizontal="center"/>
      <protection hidden="1"/>
    </xf>
    <xf numFmtId="0" fontId="0" fillId="6" borderId="3" xfId="0" applyFont="1" applyFill="1" applyBorder="1" applyAlignment="1" applyProtection="1">
      <alignment horizontal="center"/>
      <protection hidden="1"/>
    </xf>
    <xf numFmtId="0" fontId="0" fillId="7" borderId="2" xfId="0" applyFont="1" applyFill="1" applyBorder="1" applyAlignment="1" applyProtection="1">
      <alignment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3" xfId="0" applyFont="1" applyFill="1" applyBorder="1" applyAlignment="1" applyProtection="1">
      <alignment/>
      <protection hidden="1"/>
    </xf>
    <xf numFmtId="175" fontId="0" fillId="0" borderId="0" xfId="0" applyNumberFormat="1" applyFont="1" applyAlignment="1" applyProtection="1">
      <alignment horizontal="center" vertical="center"/>
      <protection hidden="1"/>
    </xf>
    <xf numFmtId="172" fontId="0" fillId="0" borderId="0" xfId="0" applyNumberFormat="1" applyFont="1" applyAlignment="1" applyProtection="1">
      <alignment horizontal="center" vertical="center"/>
      <protection hidden="1"/>
    </xf>
    <xf numFmtId="0" fontId="0" fillId="8" borderId="2" xfId="0" applyFont="1" applyFill="1" applyBorder="1" applyAlignment="1" applyProtection="1">
      <alignment/>
      <protection hidden="1"/>
    </xf>
    <xf numFmtId="0" fontId="0" fillId="8" borderId="0" xfId="0" applyFont="1" applyFill="1" applyBorder="1" applyAlignment="1" applyProtection="1">
      <alignment/>
      <protection hidden="1"/>
    </xf>
    <xf numFmtId="0" fontId="0" fillId="8" borderId="3" xfId="0" applyFont="1" applyFill="1" applyBorder="1" applyAlignment="1" applyProtection="1">
      <alignment/>
      <protection hidden="1"/>
    </xf>
    <xf numFmtId="172" fontId="0" fillId="3" borderId="0" xfId="0" applyNumberFormat="1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/>
      <protection hidden="1"/>
    </xf>
    <xf numFmtId="183" fontId="2" fillId="3" borderId="0" xfId="0" applyNumberFormat="1" applyFont="1" applyFill="1" applyAlignment="1" applyProtection="1">
      <alignment horizontal="left"/>
      <protection hidden="1"/>
    </xf>
    <xf numFmtId="22" fontId="0" fillId="3" borderId="0" xfId="0" applyNumberFormat="1" applyFont="1" applyFill="1" applyAlignment="1" applyProtection="1">
      <alignment horizontal="center"/>
      <protection hidden="1"/>
    </xf>
    <xf numFmtId="22" fontId="0" fillId="3" borderId="1" xfId="0" applyNumberFormat="1" applyFont="1" applyFill="1" applyBorder="1" applyAlignment="1" applyProtection="1">
      <alignment horizontal="center"/>
      <protection hidden="1"/>
    </xf>
    <xf numFmtId="167" fontId="0" fillId="0" borderId="0" xfId="0" applyNumberFormat="1" applyFont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1" fillId="4" borderId="4" xfId="0" applyFont="1" applyFill="1" applyBorder="1" applyAlignment="1" applyProtection="1">
      <alignment vertical="center"/>
      <protection hidden="1"/>
    </xf>
    <xf numFmtId="0" fontId="0" fillId="4" borderId="5" xfId="0" applyFont="1" applyFill="1" applyBorder="1" applyAlignment="1" applyProtection="1">
      <alignment vertical="center"/>
      <protection hidden="1"/>
    </xf>
    <xf numFmtId="0" fontId="0" fillId="4" borderId="6" xfId="0" applyFont="1" applyFill="1" applyBorder="1" applyAlignment="1" applyProtection="1">
      <alignment vertical="center"/>
      <protection hidden="1"/>
    </xf>
    <xf numFmtId="172" fontId="1" fillId="3" borderId="7" xfId="0" applyNumberFormat="1" applyFont="1" applyFill="1" applyBorder="1" applyAlignment="1" applyProtection="1">
      <alignment horizontal="center"/>
      <protection locked="0"/>
    </xf>
    <xf numFmtId="172" fontId="1" fillId="3" borderId="8" xfId="0" applyNumberFormat="1" applyFont="1" applyFill="1" applyBorder="1" applyAlignment="1" applyProtection="1">
      <alignment horizontal="center"/>
      <protection locked="0"/>
    </xf>
    <xf numFmtId="10" fontId="1" fillId="3" borderId="9" xfId="0" applyNumberFormat="1" applyFont="1" applyFill="1" applyBorder="1" applyAlignment="1" applyProtection="1">
      <alignment horizontal="center"/>
      <protection locked="0"/>
    </xf>
    <xf numFmtId="172" fontId="1" fillId="3" borderId="9" xfId="0" applyNumberFormat="1" applyFont="1" applyFill="1" applyBorder="1" applyAlignment="1" applyProtection="1">
      <alignment horizontal="center"/>
      <protection locked="0"/>
    </xf>
    <xf numFmtId="10" fontId="1" fillId="3" borderId="7" xfId="0" applyNumberFormat="1" applyFont="1" applyFill="1" applyBorder="1" applyAlignment="1" applyProtection="1">
      <alignment horizontal="center"/>
      <protection locked="0"/>
    </xf>
    <xf numFmtId="10" fontId="1" fillId="3" borderId="8" xfId="0" applyNumberFormat="1" applyFont="1" applyFill="1" applyBorder="1" applyAlignment="1" applyProtection="1">
      <alignment horizontal="center"/>
      <protection locked="0"/>
    </xf>
    <xf numFmtId="172" fontId="1" fillId="7" borderId="10" xfId="0" applyNumberFormat="1" applyFont="1" applyFill="1" applyBorder="1" applyAlignment="1" applyProtection="1">
      <alignment horizontal="center" vertical="center"/>
      <protection hidden="1"/>
    </xf>
    <xf numFmtId="172" fontId="1" fillId="7" borderId="11" xfId="0" applyNumberFormat="1" applyFont="1" applyFill="1" applyBorder="1" applyAlignment="1" applyProtection="1">
      <alignment horizontal="center" vertical="center"/>
      <protection hidden="1"/>
    </xf>
    <xf numFmtId="172" fontId="1" fillId="7" borderId="12" xfId="0" applyNumberFormat="1" applyFont="1" applyFill="1" applyBorder="1" applyAlignment="1" applyProtection="1">
      <alignment horizontal="center" vertical="center"/>
      <protection hidden="1"/>
    </xf>
    <xf numFmtId="172" fontId="6" fillId="8" borderId="9" xfId="0" applyNumberFormat="1" applyFont="1" applyFill="1" applyBorder="1" applyAlignment="1" applyProtection="1">
      <alignment horizontal="center"/>
      <protection hidden="1"/>
    </xf>
    <xf numFmtId="172" fontId="6" fillId="8" borderId="7" xfId="0" applyNumberFormat="1" applyFont="1" applyFill="1" applyBorder="1" applyAlignment="1" applyProtection="1">
      <alignment horizontal="center"/>
      <protection hidden="1"/>
    </xf>
    <xf numFmtId="172" fontId="6" fillId="8" borderId="8" xfId="0" applyNumberFormat="1" applyFont="1" applyFill="1" applyBorder="1" applyAlignment="1" applyProtection="1">
      <alignment horizontal="center"/>
      <protection hidden="1"/>
    </xf>
    <xf numFmtId="172" fontId="1" fillId="8" borderId="10" xfId="0" applyNumberFormat="1" applyFont="1" applyFill="1" applyBorder="1" applyAlignment="1" applyProtection="1">
      <alignment horizontal="center" vertical="center"/>
      <protection hidden="1"/>
    </xf>
    <xf numFmtId="172" fontId="1" fillId="8" borderId="11" xfId="0" applyNumberFormat="1" applyFont="1" applyFill="1" applyBorder="1" applyAlignment="1" applyProtection="1">
      <alignment horizontal="center" vertical="center"/>
      <protection hidden="1"/>
    </xf>
    <xf numFmtId="172" fontId="1" fillId="8" borderId="12" xfId="0" applyNumberFormat="1" applyFont="1" applyFill="1" applyBorder="1" applyAlignment="1" applyProtection="1">
      <alignment horizontal="center" vertical="center"/>
      <protection hidden="1"/>
    </xf>
    <xf numFmtId="10" fontId="0" fillId="0" borderId="0" xfId="0" applyNumberFormat="1" applyFont="1" applyFill="1" applyAlignment="1" applyProtection="1">
      <alignment horizontal="center"/>
      <protection hidden="1"/>
    </xf>
    <xf numFmtId="10" fontId="0" fillId="0" borderId="0" xfId="0" applyNumberFormat="1" applyFont="1" applyAlignment="1" applyProtection="1">
      <alignment horizontal="center"/>
      <protection hidden="1"/>
    </xf>
    <xf numFmtId="167" fontId="0" fillId="0" borderId="9" xfId="0" applyNumberFormat="1" applyFont="1" applyBorder="1" applyAlignment="1" applyProtection="1">
      <alignment horizontal="center" vertical="center"/>
      <protection hidden="1"/>
    </xf>
    <xf numFmtId="167" fontId="0" fillId="0" borderId="7" xfId="0" applyNumberFormat="1" applyFont="1" applyBorder="1" applyAlignment="1" applyProtection="1">
      <alignment horizontal="center" vertical="center"/>
      <protection hidden="1"/>
    </xf>
    <xf numFmtId="167" fontId="0" fillId="0" borderId="8" xfId="0" applyNumberFormat="1" applyFont="1" applyBorder="1" applyAlignment="1" applyProtection="1">
      <alignment horizontal="center" vertical="center"/>
      <protection hidden="1"/>
    </xf>
    <xf numFmtId="167" fontId="0" fillId="0" borderId="9" xfId="0" applyNumberFormat="1" applyFont="1" applyBorder="1" applyAlignment="1" applyProtection="1">
      <alignment horizontal="center"/>
      <protection hidden="1"/>
    </xf>
    <xf numFmtId="167" fontId="0" fillId="0" borderId="7" xfId="0" applyNumberFormat="1" applyFont="1" applyBorder="1" applyAlignment="1" applyProtection="1">
      <alignment horizontal="center"/>
      <protection hidden="1"/>
    </xf>
    <xf numFmtId="167" fontId="0" fillId="0" borderId="8" xfId="0" applyNumberFormat="1" applyFont="1" applyBorder="1" applyAlignment="1" applyProtection="1">
      <alignment horizontal="center"/>
      <protection hidden="1"/>
    </xf>
    <xf numFmtId="174" fontId="1" fillId="3" borderId="9" xfId="0" applyNumberFormat="1" applyFont="1" applyFill="1" applyBorder="1" applyAlignment="1" applyProtection="1">
      <alignment horizontal="center" vertical="center"/>
      <protection locked="0"/>
    </xf>
    <xf numFmtId="174" fontId="1" fillId="3" borderId="7" xfId="0" applyNumberFormat="1" applyFont="1" applyFill="1" applyBorder="1" applyAlignment="1" applyProtection="1">
      <alignment horizontal="center" vertical="center"/>
      <protection locked="0"/>
    </xf>
    <xf numFmtId="174" fontId="1" fillId="3" borderId="8" xfId="0" applyNumberFormat="1" applyFont="1" applyFill="1" applyBorder="1" applyAlignment="1" applyProtection="1">
      <alignment horizontal="center" vertical="center"/>
      <protection locked="0"/>
    </xf>
    <xf numFmtId="172" fontId="1" fillId="3" borderId="9" xfId="0" applyNumberFormat="1" applyFont="1" applyFill="1" applyBorder="1" applyAlignment="1" applyProtection="1">
      <alignment horizontal="center"/>
      <protection hidden="1"/>
    </xf>
    <xf numFmtId="172" fontId="1" fillId="3" borderId="7" xfId="0" applyNumberFormat="1" applyFont="1" applyFill="1" applyBorder="1" applyAlignment="1" applyProtection="1">
      <alignment horizontal="center"/>
      <protection hidden="1"/>
    </xf>
    <xf numFmtId="172" fontId="1" fillId="3" borderId="8" xfId="0" applyNumberFormat="1" applyFont="1" applyFill="1" applyBorder="1" applyAlignment="1" applyProtection="1">
      <alignment horizontal="center"/>
      <protection hidden="1"/>
    </xf>
    <xf numFmtId="172" fontId="1" fillId="3" borderId="13" xfId="0" applyNumberFormat="1" applyFont="1" applyFill="1" applyBorder="1" applyAlignment="1" applyProtection="1">
      <alignment horizontal="center"/>
      <protection hidden="1"/>
    </xf>
    <xf numFmtId="172" fontId="1" fillId="3" borderId="14" xfId="0" applyNumberFormat="1" applyFont="1" applyFill="1" applyBorder="1" applyAlignment="1" applyProtection="1">
      <alignment horizontal="center"/>
      <protection hidden="1"/>
    </xf>
    <xf numFmtId="172" fontId="1" fillId="3" borderId="15" xfId="0" applyNumberFormat="1" applyFont="1" applyFill="1" applyBorder="1" applyAlignment="1" applyProtection="1">
      <alignment horizontal="center"/>
      <protection hidden="1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172" fontId="1" fillId="3" borderId="13" xfId="0" applyNumberFormat="1" applyFont="1" applyFill="1" applyBorder="1" applyAlignment="1" applyProtection="1">
      <alignment horizontal="center"/>
      <protection locked="0"/>
    </xf>
    <xf numFmtId="172" fontId="1" fillId="3" borderId="14" xfId="0" applyNumberFormat="1" applyFont="1" applyFill="1" applyBorder="1" applyAlignment="1" applyProtection="1">
      <alignment horizontal="center"/>
      <protection locked="0"/>
    </xf>
    <xf numFmtId="172" fontId="1" fillId="3" borderId="15" xfId="0" applyNumberFormat="1" applyFont="1" applyFill="1" applyBorder="1" applyAlignment="1" applyProtection="1">
      <alignment horizontal="center"/>
      <protection locked="0"/>
    </xf>
    <xf numFmtId="10" fontId="1" fillId="4" borderId="9" xfId="0" applyNumberFormat="1" applyFont="1" applyFill="1" applyBorder="1" applyAlignment="1" applyProtection="1">
      <alignment horizontal="center"/>
      <protection locked="0"/>
    </xf>
    <xf numFmtId="10" fontId="1" fillId="4" borderId="7" xfId="0" applyNumberFormat="1" applyFont="1" applyFill="1" applyBorder="1" applyAlignment="1" applyProtection="1">
      <alignment horizontal="center"/>
      <protection locked="0"/>
    </xf>
    <xf numFmtId="10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hidden="1"/>
    </xf>
    <xf numFmtId="175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" fontId="0" fillId="3" borderId="14" xfId="0" applyNumberFormat="1" applyFont="1" applyFill="1" applyBorder="1" applyAlignment="1" applyProtection="1">
      <alignment horizontal="center" vertical="center"/>
      <protection hidden="1"/>
    </xf>
    <xf numFmtId="183" fontId="2" fillId="3" borderId="0" xfId="0" applyNumberFormat="1" applyFont="1" applyFill="1" applyAlignment="1" applyProtection="1">
      <alignment horizontal="center"/>
      <protection hidden="1"/>
    </xf>
    <xf numFmtId="167" fontId="1" fillId="4" borderId="16" xfId="0" applyNumberFormat="1" applyFont="1" applyFill="1" applyBorder="1" applyAlignment="1" applyProtection="1">
      <alignment horizontal="center" vertical="center"/>
      <protection hidden="1"/>
    </xf>
    <xf numFmtId="167" fontId="1" fillId="4" borderId="5" xfId="0" applyNumberFormat="1" applyFont="1" applyFill="1" applyBorder="1" applyAlignment="1" applyProtection="1">
      <alignment horizontal="center" vertical="center"/>
      <protection hidden="1"/>
    </xf>
    <xf numFmtId="167" fontId="1" fillId="4" borderId="17" xfId="0" applyNumberFormat="1" applyFont="1" applyFill="1" applyBorder="1" applyAlignment="1" applyProtection="1">
      <alignment horizontal="center" vertical="center"/>
      <protection hidden="1"/>
    </xf>
    <xf numFmtId="0" fontId="6" fillId="8" borderId="2" xfId="0" applyFont="1" applyFill="1" applyBorder="1" applyAlignment="1" applyProtection="1">
      <alignment horizontal="center"/>
      <protection hidden="1"/>
    </xf>
    <xf numFmtId="0" fontId="6" fillId="8" borderId="0" xfId="0" applyFont="1" applyFill="1" applyBorder="1" applyAlignment="1" applyProtection="1">
      <alignment horizontal="center"/>
      <protection hidden="1"/>
    </xf>
    <xf numFmtId="0" fontId="6" fillId="8" borderId="3" xfId="0" applyFont="1" applyFill="1" applyBorder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3" fillId="3" borderId="0" xfId="19" applyFill="1" applyAlignment="1" applyProtection="1">
      <alignment horizontal="left"/>
      <protection hidden="1"/>
    </xf>
    <xf numFmtId="172" fontId="1" fillId="0" borderId="10" xfId="0" applyNumberFormat="1" applyFont="1" applyFill="1" applyBorder="1" applyAlignment="1" applyProtection="1">
      <alignment horizontal="center"/>
      <protection locked="0"/>
    </xf>
    <xf numFmtId="172" fontId="1" fillId="0" borderId="11" xfId="0" applyNumberFormat="1" applyFont="1" applyFill="1" applyBorder="1" applyAlignment="1" applyProtection="1">
      <alignment horizontal="center"/>
      <protection locked="0"/>
    </xf>
    <xf numFmtId="172" fontId="1" fillId="0" borderId="12" xfId="0" applyNumberFormat="1" applyFont="1" applyFill="1" applyBorder="1" applyAlignment="1" applyProtection="1">
      <alignment horizontal="center"/>
      <protection locked="0"/>
    </xf>
    <xf numFmtId="167" fontId="1" fillId="6" borderId="10" xfId="0" applyNumberFormat="1" applyFont="1" applyFill="1" applyBorder="1" applyAlignment="1" applyProtection="1">
      <alignment horizontal="center" vertical="center"/>
      <protection hidden="1"/>
    </xf>
    <xf numFmtId="167" fontId="1" fillId="6" borderId="11" xfId="0" applyNumberFormat="1" applyFont="1" applyFill="1" applyBorder="1" applyAlignment="1" applyProtection="1">
      <alignment horizontal="center" vertical="center"/>
      <protection hidden="1"/>
    </xf>
    <xf numFmtId="167" fontId="1" fillId="6" borderId="12" xfId="0" applyNumberFormat="1" applyFont="1" applyFill="1" applyBorder="1" applyAlignment="1" applyProtection="1">
      <alignment horizontal="center" vertical="center"/>
      <protection hidden="1"/>
    </xf>
    <xf numFmtId="172" fontId="1" fillId="3" borderId="9" xfId="0" applyNumberFormat="1" applyFont="1" applyFill="1" applyBorder="1" applyAlignment="1" applyProtection="1">
      <alignment horizontal="center" vertical="center"/>
      <protection locked="0"/>
    </xf>
    <xf numFmtId="172" fontId="1" fillId="3" borderId="7" xfId="0" applyNumberFormat="1" applyFont="1" applyFill="1" applyBorder="1" applyAlignment="1" applyProtection="1">
      <alignment horizontal="center" vertical="center"/>
      <protection locked="0"/>
    </xf>
    <xf numFmtId="172" fontId="1" fillId="3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/>
      <protection hidden="1"/>
    </xf>
    <xf numFmtId="0" fontId="0" fillId="4" borderId="7" xfId="0" applyFont="1" applyFill="1" applyBorder="1" applyAlignment="1" applyProtection="1">
      <alignment horizontal="center"/>
      <protection hidden="1"/>
    </xf>
    <xf numFmtId="0" fontId="0" fillId="4" borderId="8" xfId="0" applyFont="1" applyFill="1" applyBorder="1" applyAlignment="1" applyProtection="1">
      <alignment horizontal="center"/>
      <protection hidden="1"/>
    </xf>
    <xf numFmtId="0" fontId="0" fillId="4" borderId="0" xfId="0" applyFont="1" applyFill="1" applyAlignment="1" applyProtection="1">
      <alignment horizontal="center"/>
      <protection hidden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19</xdr:row>
      <xdr:rowOff>133350</xdr:rowOff>
    </xdr:from>
    <xdr:to>
      <xdr:col>15</xdr:col>
      <xdr:colOff>85725</xdr:colOff>
      <xdr:row>19</xdr:row>
      <xdr:rowOff>133350</xdr:rowOff>
    </xdr:to>
    <xdr:sp>
      <xdr:nvSpPr>
        <xdr:cNvPr id="1" name="Line 7"/>
        <xdr:cNvSpPr>
          <a:spLocks/>
        </xdr:cNvSpPr>
      </xdr:nvSpPr>
      <xdr:spPr>
        <a:xfrm>
          <a:off x="1724025" y="3248025"/>
          <a:ext cx="1076325" cy="0"/>
        </a:xfrm>
        <a:prstGeom prst="line">
          <a:avLst/>
        </a:prstGeom>
        <a:noFill/>
        <a:ln w="9525" cmpd="sng">
          <a:solidFill>
            <a:srgbClr val="FF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45</xdr:col>
      <xdr:colOff>0</xdr:colOff>
      <xdr:row>4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58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152400</xdr:rowOff>
    </xdr:from>
    <xdr:to>
      <xdr:col>9</xdr:col>
      <xdr:colOff>152400</xdr:colOff>
      <xdr:row>4</xdr:row>
      <xdr:rowOff>85725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52400"/>
          <a:ext cx="1733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14</xdr:row>
      <xdr:rowOff>47625</xdr:rowOff>
    </xdr:from>
    <xdr:to>
      <xdr:col>15</xdr:col>
      <xdr:colOff>66675</xdr:colOff>
      <xdr:row>19</xdr:row>
      <xdr:rowOff>133350</xdr:rowOff>
    </xdr:to>
    <xdr:sp>
      <xdr:nvSpPr>
        <xdr:cNvPr id="4" name="Arc 10"/>
        <xdr:cNvSpPr>
          <a:spLocks/>
        </xdr:cNvSpPr>
      </xdr:nvSpPr>
      <xdr:spPr>
        <a:xfrm rot="271836" flipV="1">
          <a:off x="1800225" y="2286000"/>
          <a:ext cx="981075" cy="962025"/>
        </a:xfrm>
        <a:prstGeom prst="arc">
          <a:avLst>
            <a:gd name="adj1" fmla="val -28569337"/>
            <a:gd name="adj2" fmla="val -1009041"/>
            <a:gd name="adj3" fmla="val -43027"/>
          </a:avLst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14</xdr:row>
      <xdr:rowOff>9525</xdr:rowOff>
    </xdr:from>
    <xdr:to>
      <xdr:col>27</xdr:col>
      <xdr:colOff>152400</xdr:colOff>
      <xdr:row>18</xdr:row>
      <xdr:rowOff>123825</xdr:rowOff>
    </xdr:to>
    <xdr:sp>
      <xdr:nvSpPr>
        <xdr:cNvPr id="5" name="Arc 11"/>
        <xdr:cNvSpPr>
          <a:spLocks/>
        </xdr:cNvSpPr>
      </xdr:nvSpPr>
      <xdr:spPr>
        <a:xfrm>
          <a:off x="4124325" y="2247900"/>
          <a:ext cx="1238250" cy="828675"/>
        </a:xfrm>
        <a:prstGeom prst="arc">
          <a:avLst/>
        </a:prstGeom>
        <a:noFill/>
        <a:ln w="2857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23</xdr:row>
      <xdr:rowOff>76200</xdr:rowOff>
    </xdr:from>
    <xdr:to>
      <xdr:col>15</xdr:col>
      <xdr:colOff>85725</xdr:colOff>
      <xdr:row>23</xdr:row>
      <xdr:rowOff>76200</xdr:rowOff>
    </xdr:to>
    <xdr:sp>
      <xdr:nvSpPr>
        <xdr:cNvPr id="6" name="Line 13"/>
        <xdr:cNvSpPr>
          <a:spLocks/>
        </xdr:cNvSpPr>
      </xdr:nvSpPr>
      <xdr:spPr>
        <a:xfrm>
          <a:off x="2590800" y="3943350"/>
          <a:ext cx="209550" cy="0"/>
        </a:xfrm>
        <a:prstGeom prst="line">
          <a:avLst/>
        </a:prstGeom>
        <a:noFill/>
        <a:ln w="9525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27</xdr:row>
      <xdr:rowOff>95250</xdr:rowOff>
    </xdr:from>
    <xdr:to>
      <xdr:col>15</xdr:col>
      <xdr:colOff>114300</xdr:colOff>
      <xdr:row>27</xdr:row>
      <xdr:rowOff>95250</xdr:rowOff>
    </xdr:to>
    <xdr:sp>
      <xdr:nvSpPr>
        <xdr:cNvPr id="7" name="Line 14"/>
        <xdr:cNvSpPr>
          <a:spLocks/>
        </xdr:cNvSpPr>
      </xdr:nvSpPr>
      <xdr:spPr>
        <a:xfrm>
          <a:off x="1752600" y="4610100"/>
          <a:ext cx="10763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0</xdr:row>
      <xdr:rowOff>85725</xdr:rowOff>
    </xdr:from>
    <xdr:to>
      <xdr:col>42</xdr:col>
      <xdr:colOff>257175</xdr:colOff>
      <xdr:row>3</xdr:row>
      <xdr:rowOff>19050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4772025" y="85725"/>
          <a:ext cx="3409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für den schnellen Überblick: *
Spielen Sie ein wenig mit den Daten</a:t>
          </a:r>
        </a:p>
      </xdr:txBody>
    </xdr:sp>
    <xdr:clientData/>
  </xdr:twoCellAnchor>
  <xdr:twoCellAnchor>
    <xdr:from>
      <xdr:col>9</xdr:col>
      <xdr:colOff>66675</xdr:colOff>
      <xdr:row>23</xdr:row>
      <xdr:rowOff>85725</xdr:rowOff>
    </xdr:from>
    <xdr:to>
      <xdr:col>10</xdr:col>
      <xdr:colOff>95250</xdr:colOff>
      <xdr:row>23</xdr:row>
      <xdr:rowOff>85725</xdr:rowOff>
    </xdr:to>
    <xdr:sp>
      <xdr:nvSpPr>
        <xdr:cNvPr id="9" name="Line 16"/>
        <xdr:cNvSpPr>
          <a:spLocks/>
        </xdr:cNvSpPr>
      </xdr:nvSpPr>
      <xdr:spPr>
        <a:xfrm>
          <a:off x="1695450" y="3952875"/>
          <a:ext cx="209550" cy="0"/>
        </a:xfrm>
        <a:prstGeom prst="line">
          <a:avLst/>
        </a:prstGeom>
        <a:noFill/>
        <a:ln w="9525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66675</xdr:rowOff>
    </xdr:from>
    <xdr:to>
      <xdr:col>9</xdr:col>
      <xdr:colOff>28575</xdr:colOff>
      <xdr:row>4</xdr:row>
      <xdr:rowOff>152400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42925"/>
          <a:ext cx="1657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</xdr:row>
      <xdr:rowOff>0</xdr:rowOff>
    </xdr:from>
    <xdr:to>
      <xdr:col>24</xdr:col>
      <xdr:colOff>85725</xdr:colOff>
      <xdr:row>4</xdr:row>
      <xdr:rowOff>104775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6875" y="542925"/>
          <a:ext cx="31242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9525</xdr:colOff>
      <xdr:row>19</xdr:row>
      <xdr:rowOff>123825</xdr:rowOff>
    </xdr:from>
    <xdr:to>
      <xdr:col>43</xdr:col>
      <xdr:colOff>9525</xdr:colOff>
      <xdr:row>19</xdr:row>
      <xdr:rowOff>123825</xdr:rowOff>
    </xdr:to>
    <xdr:sp>
      <xdr:nvSpPr>
        <xdr:cNvPr id="12" name="Line 39"/>
        <xdr:cNvSpPr>
          <a:spLocks/>
        </xdr:cNvSpPr>
      </xdr:nvSpPr>
      <xdr:spPr>
        <a:xfrm>
          <a:off x="6848475" y="3238500"/>
          <a:ext cx="13525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23</xdr:row>
      <xdr:rowOff>114300</xdr:rowOff>
    </xdr:from>
    <xdr:to>
      <xdr:col>43</xdr:col>
      <xdr:colOff>9525</xdr:colOff>
      <xdr:row>23</xdr:row>
      <xdr:rowOff>114300</xdr:rowOff>
    </xdr:to>
    <xdr:sp>
      <xdr:nvSpPr>
        <xdr:cNvPr id="13" name="Line 51"/>
        <xdr:cNvSpPr>
          <a:spLocks/>
        </xdr:cNvSpPr>
      </xdr:nvSpPr>
      <xdr:spPr>
        <a:xfrm>
          <a:off x="6848475" y="3981450"/>
          <a:ext cx="13525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19050</xdr:colOff>
      <xdr:row>26</xdr:row>
      <xdr:rowOff>95250</xdr:rowOff>
    </xdr:from>
    <xdr:to>
      <xdr:col>43</xdr:col>
      <xdr:colOff>19050</xdr:colOff>
      <xdr:row>26</xdr:row>
      <xdr:rowOff>95250</xdr:rowOff>
    </xdr:to>
    <xdr:sp>
      <xdr:nvSpPr>
        <xdr:cNvPr id="14" name="Line 52"/>
        <xdr:cNvSpPr>
          <a:spLocks/>
        </xdr:cNvSpPr>
      </xdr:nvSpPr>
      <xdr:spPr>
        <a:xfrm>
          <a:off x="6858000" y="4448175"/>
          <a:ext cx="13525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raether.de/pageID_949094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DH166"/>
  <sheetViews>
    <sheetView showGridLines="0" showRowColHeaders="0" tabSelected="1" workbookViewId="0" topLeftCell="A1">
      <selection activeCell="AA25" sqref="AA25"/>
    </sheetView>
  </sheetViews>
  <sheetFormatPr defaultColWidth="11.421875" defaultRowHeight="12.75"/>
  <cols>
    <col min="1" max="16" width="2.7109375" style="1" customWidth="1"/>
    <col min="17" max="20" width="3.7109375" style="1" customWidth="1"/>
    <col min="21" max="22" width="2.7109375" style="1" customWidth="1"/>
    <col min="23" max="23" width="4.140625" style="1" customWidth="1"/>
    <col min="24" max="24" width="2.7109375" style="1" customWidth="1"/>
    <col min="25" max="25" width="4.00390625" style="1" customWidth="1"/>
    <col min="26" max="26" width="2.7109375" style="1" customWidth="1"/>
    <col min="27" max="27" width="0.85546875" style="1" customWidth="1"/>
    <col min="28" max="42" width="2.7109375" style="1" customWidth="1"/>
    <col min="43" max="43" width="4.00390625" style="1" customWidth="1"/>
    <col min="44" max="44" width="2.7109375" style="1" customWidth="1"/>
    <col min="45" max="45" width="4.28125" style="1" customWidth="1"/>
    <col min="46" max="63" width="2.7109375" style="1" customWidth="1"/>
    <col min="64" max="64" width="5.28125" style="1" hidden="1" customWidth="1"/>
    <col min="65" max="70" width="2.7109375" style="1" hidden="1" customWidth="1"/>
    <col min="71" max="71" width="11.28125" style="1" hidden="1" customWidth="1"/>
    <col min="72" max="73" width="12.57421875" style="1" hidden="1" customWidth="1"/>
    <col min="74" max="78" width="16.421875" style="1" hidden="1" customWidth="1"/>
    <col min="79" max="80" width="2.7109375" style="1" hidden="1" customWidth="1"/>
    <col min="81" max="82" width="10.7109375" style="1" hidden="1" customWidth="1"/>
    <col min="83" max="83" width="12.7109375" style="1" hidden="1" customWidth="1"/>
    <col min="84" max="85" width="10.7109375" style="1" hidden="1" customWidth="1"/>
    <col min="86" max="87" width="12.7109375" style="1" hidden="1" customWidth="1"/>
    <col min="88" max="88" width="14.8515625" style="1" hidden="1" customWidth="1"/>
    <col min="89" max="89" width="10.7109375" style="1" hidden="1" customWidth="1"/>
    <col min="90" max="90" width="15.8515625" style="1" hidden="1" customWidth="1"/>
    <col min="91" max="91" width="2.7109375" style="1" hidden="1" customWidth="1"/>
    <col min="92" max="92" width="16.7109375" style="1" hidden="1" customWidth="1"/>
    <col min="93" max="93" width="11.7109375" style="1" hidden="1" customWidth="1"/>
    <col min="94" max="120" width="2.7109375" style="1" hidden="1" customWidth="1"/>
    <col min="121" max="145" width="0" style="1" hidden="1" customWidth="1"/>
    <col min="146" max="16384" width="11.421875" style="1" customWidth="1"/>
  </cols>
  <sheetData>
    <row r="1" spans="46:83" ht="12.75">
      <c r="AT1" s="2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CE1" s="4">
        <f>PV(CD10/12,12,-CE14,-50000,1)</f>
        <v>81264.80822880736</v>
      </c>
    </row>
    <row r="2" spans="46:83" ht="12.75">
      <c r="AT2" s="2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CE2" s="4"/>
    </row>
    <row r="3" spans="1:92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2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T3" s="1" t="s">
        <v>33</v>
      </c>
      <c r="BV3" s="6">
        <v>0.065</v>
      </c>
      <c r="BW3" s="6"/>
      <c r="BX3" s="6"/>
      <c r="BY3" s="6"/>
      <c r="BZ3" s="6"/>
      <c r="CE3" s="7"/>
      <c r="CG3" s="7"/>
      <c r="CK3" s="7"/>
      <c r="CL3" s="8"/>
      <c r="CM3" s="9"/>
      <c r="CN3" s="8"/>
    </row>
    <row r="4" spans="1:92" ht="5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2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T4" s="1" t="s">
        <v>34</v>
      </c>
      <c r="BV4" s="6">
        <f>NOMINAL(BV3,12)</f>
        <v>0.063140331322173</v>
      </c>
      <c r="BW4" s="6"/>
      <c r="BX4" s="6"/>
      <c r="BY4" s="6"/>
      <c r="BZ4" s="6"/>
      <c r="CE4" s="7"/>
      <c r="CG4" s="7"/>
      <c r="CK4" s="7"/>
      <c r="CL4" s="8"/>
      <c r="CM4" s="9"/>
      <c r="CN4" s="8"/>
    </row>
    <row r="5" spans="1:92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1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V5" s="6"/>
      <c r="BW5" s="6"/>
      <c r="BX5" s="6"/>
      <c r="BY5" s="6"/>
      <c r="BZ5" s="6"/>
      <c r="CE5" s="7"/>
      <c r="CG5" s="7"/>
      <c r="CK5" s="7"/>
      <c r="CL5" s="8"/>
      <c r="CM5" s="9"/>
      <c r="CN5" s="8"/>
    </row>
    <row r="6" spans="1:92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1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V6" s="6"/>
      <c r="BW6" s="6"/>
      <c r="BX6" s="6"/>
      <c r="BY6" s="6"/>
      <c r="BZ6" s="6"/>
      <c r="CE6" s="7"/>
      <c r="CG6" s="7"/>
      <c r="CK6" s="7"/>
      <c r="CL6" s="8"/>
      <c r="CM6" s="9"/>
      <c r="CN6" s="8"/>
    </row>
    <row r="7" spans="1:92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2"/>
      <c r="AL7" s="12"/>
      <c r="AM7" s="12"/>
      <c r="AN7" s="12"/>
      <c r="AO7" s="12"/>
      <c r="AP7" s="12"/>
      <c r="AQ7" s="12"/>
      <c r="AR7" s="10"/>
      <c r="AS7" s="10"/>
      <c r="AT7" s="11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CE7" s="7"/>
      <c r="CG7" s="7"/>
      <c r="CK7" s="7"/>
      <c r="CL7" s="8"/>
      <c r="CM7" s="9"/>
      <c r="CN7" s="8"/>
    </row>
    <row r="8" spans="1:92" ht="12.75">
      <c r="A8" s="10"/>
      <c r="B8" s="10"/>
      <c r="C8" s="10"/>
      <c r="D8" s="10"/>
      <c r="E8" s="13" t="s">
        <v>3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3" t="s">
        <v>4</v>
      </c>
      <c r="R8" s="10"/>
      <c r="S8" s="10"/>
      <c r="T8" s="10"/>
      <c r="U8" s="10"/>
      <c r="V8" s="10"/>
      <c r="W8" s="10"/>
      <c r="X8" s="13" t="s">
        <v>5</v>
      </c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2"/>
      <c r="AL8" s="14" t="s">
        <v>12</v>
      </c>
      <c r="AM8" s="12"/>
      <c r="AN8" s="12"/>
      <c r="AO8" s="12"/>
      <c r="AP8" s="12"/>
      <c r="AQ8" s="12"/>
      <c r="AR8" s="10"/>
      <c r="AS8" s="10"/>
      <c r="AT8" s="11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O8" s="85">
        <f>+AL12</f>
        <v>0.06</v>
      </c>
      <c r="BP8" s="85"/>
      <c r="BQ8" s="85"/>
      <c r="BT8" s="1" t="s">
        <v>43</v>
      </c>
      <c r="CC8" s="7" t="s">
        <v>17</v>
      </c>
      <c r="CD8" s="15">
        <f>+Q12</f>
        <v>2841.3515044758483</v>
      </c>
      <c r="CE8" s="7"/>
      <c r="CG8" s="7"/>
      <c r="CK8" s="7"/>
      <c r="CL8" s="8"/>
      <c r="CM8" s="9"/>
      <c r="CN8" s="8"/>
    </row>
    <row r="9" spans="1:92" s="9" customFormat="1" ht="12.75" customHeight="1">
      <c r="A9" s="16"/>
      <c r="B9" s="16"/>
      <c r="C9" s="16"/>
      <c r="D9" s="16"/>
      <c r="E9" s="102">
        <v>35</v>
      </c>
      <c r="F9" s="103"/>
      <c r="G9" s="103"/>
      <c r="H9" s="103"/>
      <c r="I9" s="104"/>
      <c r="J9" s="16"/>
      <c r="K9" s="16"/>
      <c r="L9" s="16"/>
      <c r="M9" s="16"/>
      <c r="N9" s="16"/>
      <c r="O9" s="16"/>
      <c r="P9" s="16"/>
      <c r="Q9" s="102">
        <v>64</v>
      </c>
      <c r="R9" s="103"/>
      <c r="S9" s="103"/>
      <c r="T9" s="104"/>
      <c r="U9" s="17"/>
      <c r="V9" s="16"/>
      <c r="W9" s="16"/>
      <c r="X9" s="102">
        <v>90</v>
      </c>
      <c r="Y9" s="103"/>
      <c r="Z9" s="103"/>
      <c r="AA9" s="103"/>
      <c r="AB9" s="104"/>
      <c r="AC9" s="16"/>
      <c r="AD9" s="16"/>
      <c r="AE9" s="16"/>
      <c r="AF9" s="10"/>
      <c r="AG9" s="10"/>
      <c r="AH9" s="10"/>
      <c r="AI9" s="10"/>
      <c r="AJ9" s="10"/>
      <c r="AK9" s="18"/>
      <c r="AL9" s="14" t="s">
        <v>13</v>
      </c>
      <c r="AM9" s="18"/>
      <c r="AN9" s="18"/>
      <c r="AO9" s="18"/>
      <c r="AP9" s="18"/>
      <c r="AQ9" s="18"/>
      <c r="AR9" s="10"/>
      <c r="AS9" s="10"/>
      <c r="AT9" s="11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O9" s="86">
        <f>NOMINAL(BO8,12)</f>
        <v>0.05841060678411658</v>
      </c>
      <c r="BP9" s="86"/>
      <c r="BQ9" s="86"/>
      <c r="CC9" s="19" t="s">
        <v>18</v>
      </c>
      <c r="CD9" s="20">
        <f>+AL18</f>
        <v>0.02</v>
      </c>
      <c r="CE9" s="19"/>
      <c r="CG9" s="19"/>
      <c r="CK9" s="19"/>
      <c r="CL9" s="8"/>
      <c r="CN9" s="21"/>
    </row>
    <row r="10" spans="1:92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2"/>
      <c r="AL10" s="12"/>
      <c r="AM10" s="12"/>
      <c r="AN10" s="12"/>
      <c r="AO10" s="12"/>
      <c r="AP10" s="12"/>
      <c r="AQ10" s="12"/>
      <c r="AR10" s="10"/>
      <c r="AS10" s="10"/>
      <c r="AT10" s="11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CC10" s="7" t="s">
        <v>19</v>
      </c>
      <c r="CD10" s="22">
        <f>NOMINAL(CD11,12)</f>
        <v>0.04409771280524222</v>
      </c>
      <c r="CE10" s="7" t="s">
        <v>20</v>
      </c>
      <c r="CG10" s="7"/>
      <c r="CK10" s="7"/>
      <c r="CL10" s="8"/>
      <c r="CM10" s="9"/>
      <c r="CN10" s="21"/>
    </row>
    <row r="11" spans="1:93" ht="12.75">
      <c r="A11" s="10"/>
      <c r="B11" s="10"/>
      <c r="C11" s="10"/>
      <c r="D11" s="10"/>
      <c r="E11" s="13" t="s">
        <v>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5">
        <v>1600</v>
      </c>
      <c r="R11" s="106"/>
      <c r="S11" s="106"/>
      <c r="T11" s="107"/>
      <c r="U11" s="13" t="s">
        <v>28</v>
      </c>
      <c r="V11" s="13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2"/>
      <c r="AL11" s="14" t="s">
        <v>14</v>
      </c>
      <c r="AM11" s="12"/>
      <c r="AN11" s="12"/>
      <c r="AO11" s="12"/>
      <c r="AP11" s="12"/>
      <c r="AQ11" s="12"/>
      <c r="AR11" s="10"/>
      <c r="AS11" s="10"/>
      <c r="AT11" s="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CC11" s="7"/>
      <c r="CD11" s="22">
        <f>+AL15</f>
        <v>0.045</v>
      </c>
      <c r="CE11" s="7" t="s">
        <v>21</v>
      </c>
      <c r="CG11" s="7"/>
      <c r="CK11" s="7"/>
      <c r="CL11" s="8"/>
      <c r="CM11" s="9"/>
      <c r="CN11" s="21"/>
      <c r="CO11" s="23"/>
    </row>
    <row r="12" spans="1:92" ht="12.75">
      <c r="A12" s="17"/>
      <c r="B12" s="17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96">
        <f>+Q11*(1+AL18)^(Q9-E9)</f>
        <v>2841.3515044758483</v>
      </c>
      <c r="R12" s="97"/>
      <c r="S12" s="97"/>
      <c r="T12" s="98"/>
      <c r="U12" s="13" t="s">
        <v>32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2"/>
      <c r="AL12" s="108">
        <v>0.06</v>
      </c>
      <c r="AM12" s="109"/>
      <c r="AN12" s="109"/>
      <c r="AO12" s="110"/>
      <c r="AP12" s="12" t="s">
        <v>21</v>
      </c>
      <c r="AQ12" s="12"/>
      <c r="AR12" s="10"/>
      <c r="AS12" s="10"/>
      <c r="AT12" s="11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N12" s="1" t="s">
        <v>16</v>
      </c>
      <c r="BV12" s="1" t="s">
        <v>36</v>
      </c>
      <c r="BW12" s="1" t="s">
        <v>35</v>
      </c>
      <c r="BX12" s="9" t="s">
        <v>19</v>
      </c>
      <c r="BY12" s="9" t="s">
        <v>36</v>
      </c>
      <c r="BZ12" s="9" t="s">
        <v>37</v>
      </c>
      <c r="CC12" s="7" t="s">
        <v>22</v>
      </c>
      <c r="CD12" s="15"/>
      <c r="CE12" s="7">
        <f>+X9-Q9</f>
        <v>26</v>
      </c>
      <c r="CF12" s="7" t="s">
        <v>23</v>
      </c>
      <c r="CG12" s="24">
        <f>VLOOKUP(CE12,CC14:CJ62,8)</f>
        <v>660548.6354246062</v>
      </c>
      <c r="CH12" s="25" t="s">
        <v>27</v>
      </c>
      <c r="CI12" s="25"/>
      <c r="CJ12" s="7"/>
      <c r="CL12" s="8"/>
      <c r="CM12" s="9"/>
      <c r="CN12" s="21"/>
    </row>
    <row r="13" spans="1:112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99">
        <f>+Q12*(1+AL18)^(X9-Q9-1)</f>
        <v>4661.538310624454</v>
      </c>
      <c r="R13" s="100"/>
      <c r="S13" s="100"/>
      <c r="T13" s="101"/>
      <c r="U13" s="13" t="s">
        <v>29</v>
      </c>
      <c r="V13" s="13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2"/>
      <c r="AL13" s="12"/>
      <c r="AM13" s="12"/>
      <c r="AN13" s="12"/>
      <c r="AO13" s="12"/>
      <c r="AP13" s="12"/>
      <c r="AQ13" s="12"/>
      <c r="AR13" s="10"/>
      <c r="AS13" s="10"/>
      <c r="AT13" s="11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26" t="s">
        <v>0</v>
      </c>
      <c r="BS13" s="1" t="s">
        <v>25</v>
      </c>
      <c r="BT13" s="1" t="s">
        <v>19</v>
      </c>
      <c r="BW13" s="27">
        <f>+E20</f>
        <v>50000</v>
      </c>
      <c r="CC13" s="25"/>
      <c r="CD13" s="25"/>
      <c r="CE13" s="28" t="s">
        <v>24</v>
      </c>
      <c r="CF13" s="25" t="s">
        <v>25</v>
      </c>
      <c r="CG13" s="25" t="s">
        <v>26</v>
      </c>
      <c r="CH13" s="29" t="s">
        <v>30</v>
      </c>
      <c r="CI13" s="19" t="s">
        <v>31</v>
      </c>
      <c r="CJ13" s="30"/>
      <c r="CW13" s="112"/>
      <c r="CX13" s="111"/>
      <c r="CY13" s="111"/>
      <c r="CZ13" s="111"/>
      <c r="DA13" s="111"/>
      <c r="DE13" s="111"/>
      <c r="DF13" s="111"/>
      <c r="DG13" s="111"/>
      <c r="DH13" s="111"/>
    </row>
    <row r="14" spans="1:111" s="26" customFormat="1" ht="18.75" customHeight="1">
      <c r="A14" s="31"/>
      <c r="B14" s="31"/>
      <c r="C14" s="31"/>
      <c r="D14" s="31"/>
      <c r="E14" s="67" t="s">
        <v>2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116">
        <f>+CG12</f>
        <v>660548.6354246062</v>
      </c>
      <c r="R14" s="117"/>
      <c r="S14" s="117"/>
      <c r="T14" s="118"/>
      <c r="U14" s="69"/>
      <c r="AD14" s="31"/>
      <c r="AE14" s="31"/>
      <c r="AF14" s="10"/>
      <c r="AG14" s="10"/>
      <c r="AH14" s="10"/>
      <c r="AI14" s="10"/>
      <c r="AJ14" s="10"/>
      <c r="AK14" s="32"/>
      <c r="AL14" s="14" t="s">
        <v>15</v>
      </c>
      <c r="AM14" s="12"/>
      <c r="AN14" s="12"/>
      <c r="AO14" s="12"/>
      <c r="AP14" s="12"/>
      <c r="AQ14" s="12"/>
      <c r="AR14" s="10"/>
      <c r="AS14" s="10"/>
      <c r="AT14" s="11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26">
        <v>1</v>
      </c>
      <c r="BN14" s="87">
        <f>FV($BO$9/12,12,-E24,0)</f>
        <v>1848.9792513055936</v>
      </c>
      <c r="BO14" s="88"/>
      <c r="BP14" s="88"/>
      <c r="BQ14" s="88"/>
      <c r="BR14" s="89"/>
      <c r="BS14" s="33">
        <f>+E24*12</f>
        <v>1800</v>
      </c>
      <c r="BT14" s="33">
        <f>+BN14-BS14</f>
        <v>48.97925130559361</v>
      </c>
      <c r="BU14" s="34">
        <v>3100</v>
      </c>
      <c r="BV14" s="27">
        <f>(+BT14-BU14)*25/100</f>
        <v>-762.7551871736016</v>
      </c>
      <c r="BW14" s="27">
        <f aca="true" t="shared" si="0" ref="BW14:BW45">+(1+$AL$12)^BL14*$BW$13</f>
        <v>53000</v>
      </c>
      <c r="BX14" s="27">
        <f>+BW14-BW13</f>
        <v>3000</v>
      </c>
      <c r="BY14" s="27">
        <f>(+BX14-BU14)*25/100</f>
        <v>-25</v>
      </c>
      <c r="BZ14" s="27">
        <f>+BY14+BV14</f>
        <v>-787.7551871736016</v>
      </c>
      <c r="CC14" s="35">
        <v>1</v>
      </c>
      <c r="CD14" s="35">
        <v>2004</v>
      </c>
      <c r="CE14" s="36">
        <f>CD8</f>
        <v>2841.3515044758483</v>
      </c>
      <c r="CF14" s="36">
        <f>PV($CD$10/12,12,-CE14,,1)</f>
        <v>33417.91827665431</v>
      </c>
      <c r="CG14" s="37">
        <v>1</v>
      </c>
      <c r="CH14" s="38">
        <f>CG14*CF14</f>
        <v>33417.91827665431</v>
      </c>
      <c r="CI14" s="38">
        <f aca="true" t="shared" si="1" ref="CI14:CI45">IF($CE$12=CC14,PV($AL$15,CC14,0,-$X$20,1),0)</f>
        <v>0</v>
      </c>
      <c r="CJ14" s="38">
        <f>+CH14+CI14</f>
        <v>33417.91827665431</v>
      </c>
      <c r="CO14" s="39" t="e">
        <f>+#REF!</f>
        <v>#REF!</v>
      </c>
      <c r="CP14" s="40"/>
      <c r="CQ14" s="40"/>
      <c r="CR14" s="40"/>
      <c r="CW14" s="113"/>
      <c r="CX14" s="113"/>
      <c r="CY14" s="113"/>
      <c r="CZ14" s="113"/>
      <c r="DA14" s="113"/>
      <c r="DE14" s="113"/>
      <c r="DF14" s="113"/>
      <c r="DG14" s="113"/>
    </row>
    <row r="15" spans="1:111" ht="13.5" customHeight="1">
      <c r="A15" s="10"/>
      <c r="B15" s="10"/>
      <c r="C15" s="10"/>
      <c r="D15" s="10"/>
      <c r="E15" s="13" t="str">
        <f>+BT8&amp;" "&amp;Q9</f>
        <v>zu erwartendes Vermögen 64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24">
        <v>50000</v>
      </c>
      <c r="R15" s="125"/>
      <c r="S15" s="125"/>
      <c r="T15" s="126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2"/>
      <c r="AL15" s="108">
        <v>0.045</v>
      </c>
      <c r="AM15" s="109"/>
      <c r="AN15" s="109"/>
      <c r="AO15" s="110"/>
      <c r="AP15" s="12" t="s">
        <v>21</v>
      </c>
      <c r="AQ15" s="12"/>
      <c r="AR15" s="10"/>
      <c r="AS15" s="10"/>
      <c r="AT15" s="11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">
        <f>+BL14+1</f>
        <v>2</v>
      </c>
      <c r="BN15" s="90">
        <f aca="true" t="shared" si="2" ref="BN15:BN46">FV($BO$9/12,12,-$E$24*(1+$L$24)^BL15,-BN14)</f>
        <v>3808.897257689524</v>
      </c>
      <c r="BO15" s="91"/>
      <c r="BP15" s="91"/>
      <c r="BQ15" s="91"/>
      <c r="BR15" s="92"/>
      <c r="BS15" s="41">
        <f aca="true" t="shared" si="3" ref="BS15:BS46">($BS$14*(1+$L$24)^BL14)+BS14</f>
        <v>3600</v>
      </c>
      <c r="BT15" s="33">
        <f>+BN15-BS15-SUM($BT$14:BT14)</f>
        <v>159.91800638393033</v>
      </c>
      <c r="BU15" s="34">
        <f>+BU14</f>
        <v>3100</v>
      </c>
      <c r="BV15" s="27">
        <f aca="true" t="shared" si="4" ref="BV15:BV63">(+BT15-BU15)*25/100</f>
        <v>-735.0204984040174</v>
      </c>
      <c r="BW15" s="27">
        <f t="shared" si="0"/>
        <v>56180.00000000001</v>
      </c>
      <c r="BX15" s="27">
        <f>+BW15-$BW$13-(SUM($BX$14:BX14))</f>
        <v>3180.0000000000073</v>
      </c>
      <c r="BY15" s="27">
        <f aca="true" t="shared" si="5" ref="BY15:BY63">(+BX15-BU15)*25/100</f>
        <v>20.00000000000182</v>
      </c>
      <c r="BZ15" s="27">
        <f aca="true" t="shared" si="6" ref="BZ15:BZ63">+BY15+BV15</f>
        <v>-715.0204984040156</v>
      </c>
      <c r="CC15" s="19">
        <f>+CC14+1</f>
        <v>2</v>
      </c>
      <c r="CD15" s="19">
        <f>+CD14+1</f>
        <v>2005</v>
      </c>
      <c r="CE15" s="15">
        <f>CE14*(1+$CD$9)</f>
        <v>2898.178534565365</v>
      </c>
      <c r="CF15" s="36">
        <f>PV($CD$10/12,12,-CE15,,1)</f>
        <v>34086.2766421874</v>
      </c>
      <c r="CG15" s="42">
        <f>+CG14/(1+$CD$11)</f>
        <v>0.9569377990430623</v>
      </c>
      <c r="CH15" s="38">
        <f>CG15*CF15</f>
        <v>32618.446547547752</v>
      </c>
      <c r="CI15" s="38">
        <f t="shared" si="1"/>
        <v>0</v>
      </c>
      <c r="CJ15" s="43">
        <f>+CJ14+CI15+CH15</f>
        <v>66036.36482420206</v>
      </c>
      <c r="CL15" s="4">
        <f>+CJ15-CI14</f>
        <v>66036.36482420206</v>
      </c>
      <c r="CO15" s="44" t="e">
        <f>+#REF!</f>
        <v>#REF!</v>
      </c>
      <c r="CP15" s="9"/>
      <c r="CQ15" s="9"/>
      <c r="CR15" s="9"/>
      <c r="CW15" s="111"/>
      <c r="CX15" s="111"/>
      <c r="CY15" s="111"/>
      <c r="CZ15" s="111"/>
      <c r="DA15" s="111"/>
      <c r="DE15" s="111"/>
      <c r="DF15" s="111"/>
      <c r="DG15" s="111"/>
    </row>
    <row r="16" spans="1:96" ht="17.25" customHeight="1">
      <c r="A16" s="17"/>
      <c r="B16" s="1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45"/>
      <c r="Q16" s="46"/>
      <c r="R16" s="47"/>
      <c r="S16" s="47"/>
      <c r="T16" s="48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2"/>
      <c r="AL16" s="12"/>
      <c r="AM16" s="12"/>
      <c r="AN16" s="12"/>
      <c r="AO16" s="12"/>
      <c r="AP16" s="12"/>
      <c r="AQ16" s="12"/>
      <c r="AR16" s="10"/>
      <c r="AS16" s="10"/>
      <c r="AT16" s="11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">
        <f aca="true" t="shared" si="7" ref="BL16:BL63">+BL15+1</f>
        <v>3</v>
      </c>
      <c r="BN16" s="90">
        <f t="shared" si="2"/>
        <v>5886.410344456492</v>
      </c>
      <c r="BO16" s="91"/>
      <c r="BP16" s="91"/>
      <c r="BQ16" s="91"/>
      <c r="BR16" s="92"/>
      <c r="BS16" s="41">
        <f t="shared" si="3"/>
        <v>5400</v>
      </c>
      <c r="BT16" s="33">
        <f>+BN16-BS16-SUM($BT$14:BT15)</f>
        <v>277.5130867669677</v>
      </c>
      <c r="BU16" s="34">
        <f aca="true" t="shared" si="8" ref="BU16:BU63">+BU15</f>
        <v>3100</v>
      </c>
      <c r="BV16" s="27">
        <f t="shared" si="4"/>
        <v>-705.6217283082581</v>
      </c>
      <c r="BW16" s="27">
        <f t="shared" si="0"/>
        <v>59550.80000000002</v>
      </c>
      <c r="BX16" s="27">
        <f>+BW16-$BW$13-(SUM($BX$14:BX15))</f>
        <v>3370.80000000001</v>
      </c>
      <c r="BY16" s="27">
        <f t="shared" si="5"/>
        <v>67.70000000000255</v>
      </c>
      <c r="BZ16" s="27">
        <f t="shared" si="6"/>
        <v>-637.9217283082555</v>
      </c>
      <c r="CC16" s="19">
        <f aca="true" t="shared" si="9" ref="CC16:CD48">+CC15+1</f>
        <v>3</v>
      </c>
      <c r="CD16" s="19">
        <f t="shared" si="9"/>
        <v>2006</v>
      </c>
      <c r="CE16" s="15">
        <f aca="true" t="shared" si="10" ref="CE16:CE62">CE15*(1+$CD$9)</f>
        <v>2956.1421052566725</v>
      </c>
      <c r="CF16" s="36">
        <f aca="true" t="shared" si="11" ref="CF16:CF62">PV($CD$10/12,12,-CE16,0,1)</f>
        <v>34768.002175031135</v>
      </c>
      <c r="CG16" s="42">
        <f aca="true" t="shared" si="12" ref="CG16:CG62">+CG15/(1+$CD$11)</f>
        <v>0.9157299512373802</v>
      </c>
      <c r="CH16" s="43">
        <f aca="true" t="shared" si="13" ref="CH16:CH48">CG16*CF16</f>
        <v>31838.10093636239</v>
      </c>
      <c r="CI16" s="38">
        <f t="shared" si="1"/>
        <v>0</v>
      </c>
      <c r="CJ16" s="43">
        <f aca="true" t="shared" si="14" ref="CJ16:CJ62">+CJ15+CI16+CH16</f>
        <v>97874.46576056445</v>
      </c>
      <c r="CO16" s="1">
        <f>+Q28*-1</f>
        <v>203470.7813187983</v>
      </c>
      <c r="CP16" s="9"/>
      <c r="CQ16" s="9"/>
      <c r="CR16" s="9"/>
    </row>
    <row r="17" spans="1:96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45"/>
      <c r="Q17" s="46"/>
      <c r="R17" s="47"/>
      <c r="S17" s="47"/>
      <c r="T17" s="48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2"/>
      <c r="AL17" s="14" t="s">
        <v>7</v>
      </c>
      <c r="AM17" s="12"/>
      <c r="AN17" s="12"/>
      <c r="AO17" s="12"/>
      <c r="AP17" s="12"/>
      <c r="AQ17" s="12"/>
      <c r="AR17" s="10"/>
      <c r="AS17" s="10"/>
      <c r="AT17" s="11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">
        <f t="shared" si="7"/>
        <v>4</v>
      </c>
      <c r="BN17" s="90">
        <f t="shared" si="2"/>
        <v>8088.574216429479</v>
      </c>
      <c r="BO17" s="91"/>
      <c r="BP17" s="91"/>
      <c r="BQ17" s="91"/>
      <c r="BR17" s="92"/>
      <c r="BS17" s="41">
        <f t="shared" si="3"/>
        <v>7200</v>
      </c>
      <c r="BT17" s="33">
        <f>+BN17-BS17-SUM($BT$14:BT16)</f>
        <v>402.1638719729872</v>
      </c>
      <c r="BU17" s="34">
        <f t="shared" si="8"/>
        <v>3100</v>
      </c>
      <c r="BV17" s="27">
        <f t="shared" si="4"/>
        <v>-674.4590320067532</v>
      </c>
      <c r="BW17" s="27">
        <f t="shared" si="0"/>
        <v>63123.84800000001</v>
      </c>
      <c r="BX17" s="27">
        <f>+BW17-$BW$13-(SUM($BX$14:BX16))</f>
        <v>3573.047999999995</v>
      </c>
      <c r="BY17" s="27">
        <f t="shared" si="5"/>
        <v>118.2619999999988</v>
      </c>
      <c r="BZ17" s="27">
        <f t="shared" si="6"/>
        <v>-556.1970320067544</v>
      </c>
      <c r="CC17" s="19">
        <f t="shared" si="9"/>
        <v>4</v>
      </c>
      <c r="CD17" s="19">
        <f t="shared" si="9"/>
        <v>2007</v>
      </c>
      <c r="CE17" s="15">
        <f t="shared" si="10"/>
        <v>3015.264947361806</v>
      </c>
      <c r="CF17" s="36">
        <f t="shared" si="11"/>
        <v>35463.36221853177</v>
      </c>
      <c r="CG17" s="42">
        <f t="shared" si="12"/>
        <v>0.8762966040549094</v>
      </c>
      <c r="CH17" s="43">
        <f t="shared" si="13"/>
        <v>31076.42388046857</v>
      </c>
      <c r="CI17" s="38">
        <f t="shared" si="1"/>
        <v>0</v>
      </c>
      <c r="CJ17" s="43">
        <f t="shared" si="14"/>
        <v>128950.88964103302</v>
      </c>
      <c r="CO17" s="44" t="e">
        <f>SUM(CO14:CO16)</f>
        <v>#REF!</v>
      </c>
      <c r="CP17" s="9"/>
      <c r="CQ17" s="9"/>
      <c r="CR17" s="9"/>
    </row>
    <row r="18" spans="1:96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45"/>
      <c r="Q18" s="46"/>
      <c r="R18" s="47"/>
      <c r="S18" s="47"/>
      <c r="T18" s="48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2"/>
      <c r="AL18" s="108">
        <v>0.02</v>
      </c>
      <c r="AM18" s="109"/>
      <c r="AN18" s="109"/>
      <c r="AO18" s="110"/>
      <c r="AP18" s="12"/>
      <c r="AQ18" s="12"/>
      <c r="AR18" s="10"/>
      <c r="AS18" s="10"/>
      <c r="AT18" s="11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">
        <f t="shared" si="7"/>
        <v>5</v>
      </c>
      <c r="BN18" s="90">
        <f t="shared" si="2"/>
        <v>10422.867920720848</v>
      </c>
      <c r="BO18" s="91"/>
      <c r="BP18" s="91"/>
      <c r="BQ18" s="91"/>
      <c r="BR18" s="92"/>
      <c r="BS18" s="41">
        <f t="shared" si="3"/>
        <v>9000</v>
      </c>
      <c r="BT18" s="33">
        <f>+BN18-BS18-SUM($BT$14:BT17)</f>
        <v>534.2937042913691</v>
      </c>
      <c r="BU18" s="34">
        <f t="shared" si="8"/>
        <v>3100</v>
      </c>
      <c r="BV18" s="27">
        <f t="shared" si="4"/>
        <v>-641.4265739271577</v>
      </c>
      <c r="BW18" s="27">
        <f t="shared" si="0"/>
        <v>66911.27888000003</v>
      </c>
      <c r="BX18" s="27">
        <f>+BW18-$BW$13-(SUM($BX$14:BX17))</f>
        <v>3787.4308800000144</v>
      </c>
      <c r="BY18" s="27">
        <f t="shared" si="5"/>
        <v>171.8577200000036</v>
      </c>
      <c r="BZ18" s="27">
        <f t="shared" si="6"/>
        <v>-469.5688539271541</v>
      </c>
      <c r="CC18" s="19">
        <f t="shared" si="9"/>
        <v>5</v>
      </c>
      <c r="CD18" s="19">
        <f t="shared" si="9"/>
        <v>2008</v>
      </c>
      <c r="CE18" s="15">
        <f t="shared" si="10"/>
        <v>3075.5702463090424</v>
      </c>
      <c r="CF18" s="36">
        <f t="shared" si="11"/>
        <v>36172.6294629024</v>
      </c>
      <c r="CG18" s="42">
        <f t="shared" si="12"/>
        <v>0.8385613435932148</v>
      </c>
      <c r="CH18" s="43">
        <f t="shared" si="13"/>
        <v>30332.968763710942</v>
      </c>
      <c r="CI18" s="38">
        <f t="shared" si="1"/>
        <v>0</v>
      </c>
      <c r="CJ18" s="43">
        <f t="shared" si="14"/>
        <v>159283.85840474395</v>
      </c>
      <c r="CP18" s="9"/>
      <c r="CQ18" s="9"/>
      <c r="CR18" s="9"/>
    </row>
    <row r="19" spans="1:96" ht="12.75">
      <c r="A19" s="10"/>
      <c r="B19" s="10"/>
      <c r="C19" s="10"/>
      <c r="D19" s="10"/>
      <c r="E19" s="13" t="s">
        <v>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7"/>
      <c r="Q19" s="49"/>
      <c r="R19" s="50"/>
      <c r="S19" s="50"/>
      <c r="T19" s="51"/>
      <c r="U19" s="10"/>
      <c r="V19" s="10"/>
      <c r="W19" s="10"/>
      <c r="X19" s="13" t="s">
        <v>11</v>
      </c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2"/>
      <c r="AL19" s="12"/>
      <c r="AM19" s="12"/>
      <c r="AN19" s="12"/>
      <c r="AO19" s="12"/>
      <c r="AP19" s="12"/>
      <c r="AQ19" s="12"/>
      <c r="AR19" s="10"/>
      <c r="AS19" s="10"/>
      <c r="AT19" s="11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">
        <f t="shared" si="7"/>
        <v>6</v>
      </c>
      <c r="BN19" s="90">
        <f t="shared" si="2"/>
        <v>12897.219247269699</v>
      </c>
      <c r="BO19" s="91"/>
      <c r="BP19" s="91"/>
      <c r="BQ19" s="91"/>
      <c r="BR19" s="92"/>
      <c r="BS19" s="41">
        <f t="shared" si="3"/>
        <v>10800</v>
      </c>
      <c r="BT19" s="33">
        <f>+BN19-BS19-SUM($BT$14:BT18)</f>
        <v>674.3513265488509</v>
      </c>
      <c r="BU19" s="34">
        <f t="shared" si="8"/>
        <v>3100</v>
      </c>
      <c r="BV19" s="27">
        <f t="shared" si="4"/>
        <v>-606.4121683627873</v>
      </c>
      <c r="BW19" s="27">
        <f t="shared" si="0"/>
        <v>70925.95561280003</v>
      </c>
      <c r="BX19" s="27">
        <f>+BW19-$BW$13-(SUM($BX$14:BX18))</f>
        <v>4014.6767327999987</v>
      </c>
      <c r="BY19" s="27">
        <f t="shared" si="5"/>
        <v>228.66918319999968</v>
      </c>
      <c r="BZ19" s="27">
        <f t="shared" si="6"/>
        <v>-377.7429851627876</v>
      </c>
      <c r="CC19" s="19">
        <f t="shared" si="9"/>
        <v>6</v>
      </c>
      <c r="CD19" s="19">
        <f t="shared" si="9"/>
        <v>2009</v>
      </c>
      <c r="CE19" s="15">
        <f t="shared" si="10"/>
        <v>3137.0816512352235</v>
      </c>
      <c r="CF19" s="36">
        <f t="shared" si="11"/>
        <v>36896.082052160455</v>
      </c>
      <c r="CG19" s="42">
        <f t="shared" si="12"/>
        <v>0.802451046500684</v>
      </c>
      <c r="CH19" s="43">
        <f t="shared" si="13"/>
        <v>29607.29965453126</v>
      </c>
      <c r="CI19" s="38">
        <f t="shared" si="1"/>
        <v>0</v>
      </c>
      <c r="CJ19" s="43">
        <f t="shared" si="14"/>
        <v>188891.1580592752</v>
      </c>
      <c r="CL19" s="8"/>
      <c r="CM19" s="9"/>
      <c r="CN19" s="21"/>
      <c r="CP19" s="9"/>
      <c r="CQ19" s="9"/>
      <c r="CR19" s="9"/>
    </row>
    <row r="20" spans="1:96" ht="12.75">
      <c r="A20" s="31"/>
      <c r="B20" s="31"/>
      <c r="C20" s="31"/>
      <c r="D20" s="31"/>
      <c r="E20" s="93">
        <v>50000</v>
      </c>
      <c r="F20" s="94"/>
      <c r="G20" s="94"/>
      <c r="H20" s="94"/>
      <c r="I20" s="95"/>
      <c r="J20" s="31"/>
      <c r="K20" s="31"/>
      <c r="L20" s="31"/>
      <c r="M20" s="31"/>
      <c r="N20" s="31"/>
      <c r="O20" s="31"/>
      <c r="P20" s="31"/>
      <c r="Q20" s="127">
        <f>FV(AL12,Q9-E9,0,-E20)</f>
        <v>270919.3949487386</v>
      </c>
      <c r="R20" s="128"/>
      <c r="S20" s="128"/>
      <c r="T20" s="129"/>
      <c r="U20" s="31"/>
      <c r="V20" s="31"/>
      <c r="W20" s="31"/>
      <c r="X20" s="130">
        <v>25000</v>
      </c>
      <c r="Y20" s="131"/>
      <c r="Z20" s="131"/>
      <c r="AA20" s="131"/>
      <c r="AB20" s="132"/>
      <c r="AC20" s="31"/>
      <c r="AD20" s="31"/>
      <c r="AE20" s="10"/>
      <c r="AF20" s="10"/>
      <c r="AG20" s="10"/>
      <c r="AH20" s="10"/>
      <c r="AI20" s="10"/>
      <c r="AJ20" s="10"/>
      <c r="AK20" s="12"/>
      <c r="AL20" s="12"/>
      <c r="AM20" s="12"/>
      <c r="AN20" s="12"/>
      <c r="AO20" s="12"/>
      <c r="AP20" s="12"/>
      <c r="AQ20" s="12"/>
      <c r="AR20" s="10"/>
      <c r="AS20" s="10"/>
      <c r="AT20" s="11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">
        <f t="shared" si="7"/>
        <v>7</v>
      </c>
      <c r="BN20" s="90">
        <f t="shared" si="2"/>
        <v>15520.031653411483</v>
      </c>
      <c r="BO20" s="91"/>
      <c r="BP20" s="91"/>
      <c r="BQ20" s="91"/>
      <c r="BR20" s="92"/>
      <c r="BS20" s="41">
        <f t="shared" si="3"/>
        <v>12600</v>
      </c>
      <c r="BT20" s="33">
        <f>+BN20-BS20-SUM($BT$14:BT19)</f>
        <v>822.8124061417839</v>
      </c>
      <c r="BU20" s="34">
        <f t="shared" si="8"/>
        <v>3100</v>
      </c>
      <c r="BV20" s="27">
        <f t="shared" si="4"/>
        <v>-569.296898464554</v>
      </c>
      <c r="BW20" s="27">
        <f t="shared" si="0"/>
        <v>75181.51294956804</v>
      </c>
      <c r="BX20" s="27">
        <f>+BW20-$BW$13-(SUM($BX$14:BX19))</f>
        <v>4255.557336768019</v>
      </c>
      <c r="BY20" s="27">
        <f t="shared" si="5"/>
        <v>288.88933419200475</v>
      </c>
      <c r="BZ20" s="27">
        <f t="shared" si="6"/>
        <v>-280.4075642725493</v>
      </c>
      <c r="CC20" s="19">
        <f t="shared" si="9"/>
        <v>7</v>
      </c>
      <c r="CD20" s="19">
        <f t="shared" si="9"/>
        <v>2010</v>
      </c>
      <c r="CE20" s="15">
        <f t="shared" si="10"/>
        <v>3199.823284259928</v>
      </c>
      <c r="CF20" s="36">
        <f t="shared" si="11"/>
        <v>37634.00369320367</v>
      </c>
      <c r="CG20" s="42">
        <f t="shared" si="12"/>
        <v>0.7678957382781666</v>
      </c>
      <c r="CH20" s="43">
        <f t="shared" si="13"/>
        <v>28898.99105035588</v>
      </c>
      <c r="CI20" s="38">
        <f t="shared" si="1"/>
        <v>0</v>
      </c>
      <c r="CJ20" s="43">
        <f t="shared" si="14"/>
        <v>217790.14910963108</v>
      </c>
      <c r="CL20" s="8"/>
      <c r="CM20" s="9"/>
      <c r="CN20" s="21"/>
      <c r="CP20" s="9"/>
      <c r="CQ20" s="9"/>
      <c r="CR20" s="9"/>
    </row>
    <row r="21" spans="1:96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52"/>
      <c r="R21" s="53"/>
      <c r="S21" s="53"/>
      <c r="T21" s="54"/>
      <c r="U21" s="10"/>
      <c r="V21" s="10"/>
      <c r="W21" s="10"/>
      <c r="X21" s="10" t="s">
        <v>41</v>
      </c>
      <c r="Y21" s="10"/>
      <c r="Z21" s="114">
        <f>+AM26+X9-E9-1</f>
        <v>2059</v>
      </c>
      <c r="AA21" s="114"/>
      <c r="AB21" s="114"/>
      <c r="AC21" s="10"/>
      <c r="AD21" s="10"/>
      <c r="AE21" s="10"/>
      <c r="AF21" s="10"/>
      <c r="AG21" s="10"/>
      <c r="AH21" s="10"/>
      <c r="AI21" s="10"/>
      <c r="AJ21" s="10"/>
      <c r="AK21" s="12"/>
      <c r="AL21" s="12"/>
      <c r="AM21" s="12"/>
      <c r="AN21" s="12"/>
      <c r="AO21" s="12"/>
      <c r="AP21" s="12"/>
      <c r="AQ21" s="12"/>
      <c r="AR21" s="10"/>
      <c r="AS21" s="10"/>
      <c r="AT21" s="11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">
        <f t="shared" si="7"/>
        <v>8</v>
      </c>
      <c r="BN21" s="90">
        <f t="shared" si="2"/>
        <v>18300.21280392178</v>
      </c>
      <c r="BO21" s="91"/>
      <c r="BP21" s="91"/>
      <c r="BQ21" s="91"/>
      <c r="BR21" s="92"/>
      <c r="BS21" s="41">
        <f t="shared" si="3"/>
        <v>14400</v>
      </c>
      <c r="BT21" s="33">
        <f>+BN21-BS21-SUM($BT$14:BT20)</f>
        <v>980.181150510296</v>
      </c>
      <c r="BU21" s="34">
        <f t="shared" si="8"/>
        <v>3100</v>
      </c>
      <c r="BV21" s="27">
        <f t="shared" si="4"/>
        <v>-529.954712372426</v>
      </c>
      <c r="BW21" s="27">
        <f t="shared" si="0"/>
        <v>79692.40372654212</v>
      </c>
      <c r="BX21" s="27">
        <f>+BW21-$BW$13-(SUM($BX$14:BX20))</f>
        <v>4510.890776974076</v>
      </c>
      <c r="BY21" s="27">
        <f t="shared" si="5"/>
        <v>352.7226942435191</v>
      </c>
      <c r="BZ21" s="27">
        <f t="shared" si="6"/>
        <v>-177.23201812890693</v>
      </c>
      <c r="CC21" s="19">
        <f t="shared" si="9"/>
        <v>8</v>
      </c>
      <c r="CD21" s="19">
        <f t="shared" si="9"/>
        <v>2011</v>
      </c>
      <c r="CE21" s="15">
        <f t="shared" si="10"/>
        <v>3263.8197499451267</v>
      </c>
      <c r="CF21" s="36">
        <f t="shared" si="11"/>
        <v>38386.683767067734</v>
      </c>
      <c r="CG21" s="42">
        <f t="shared" si="12"/>
        <v>0.7348284576824561</v>
      </c>
      <c r="CH21" s="43">
        <f t="shared" si="13"/>
        <v>28207.627628098555</v>
      </c>
      <c r="CI21" s="38">
        <f t="shared" si="1"/>
        <v>0</v>
      </c>
      <c r="CJ21" s="43">
        <f t="shared" si="14"/>
        <v>245997.77673772964</v>
      </c>
      <c r="CL21" s="8"/>
      <c r="CM21" s="9"/>
      <c r="CN21" s="21"/>
      <c r="CP21" s="9"/>
      <c r="CQ21" s="9"/>
      <c r="CR21" s="9"/>
    </row>
    <row r="22" spans="1:96" s="26" customFormat="1" ht="20.2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52"/>
      <c r="R22" s="53"/>
      <c r="S22" s="53"/>
      <c r="T22" s="54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2"/>
      <c r="AL22" s="133" t="s">
        <v>39</v>
      </c>
      <c r="AM22" s="134"/>
      <c r="AN22" s="134"/>
      <c r="AO22" s="134"/>
      <c r="AP22" s="135"/>
      <c r="AQ22" s="12"/>
      <c r="AR22" s="10"/>
      <c r="AS22" s="10"/>
      <c r="AT22" s="11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26">
        <f t="shared" si="7"/>
        <v>9</v>
      </c>
      <c r="BN22" s="90">
        <f t="shared" si="2"/>
        <v>21247.204823462693</v>
      </c>
      <c r="BO22" s="91"/>
      <c r="BP22" s="91"/>
      <c r="BQ22" s="91"/>
      <c r="BR22" s="92"/>
      <c r="BS22" s="41">
        <f t="shared" si="3"/>
        <v>16200</v>
      </c>
      <c r="BT22" s="33">
        <f>+BN22-BS22-SUM($BT$14:BT21)</f>
        <v>1146.992019540914</v>
      </c>
      <c r="BU22" s="34">
        <f t="shared" si="8"/>
        <v>3100</v>
      </c>
      <c r="BV22" s="27">
        <f t="shared" si="4"/>
        <v>-488.2519951147715</v>
      </c>
      <c r="BW22" s="27">
        <f t="shared" si="0"/>
        <v>84473.94795013464</v>
      </c>
      <c r="BX22" s="27">
        <f>+BW22-$BW$13-(SUM($BX$14:BX21))</f>
        <v>4781.544223592515</v>
      </c>
      <c r="BY22" s="27">
        <f t="shared" si="5"/>
        <v>420.3860558981287</v>
      </c>
      <c r="BZ22" s="27">
        <f t="shared" si="6"/>
        <v>-67.8659392166428</v>
      </c>
      <c r="CC22" s="35">
        <f t="shared" si="9"/>
        <v>9</v>
      </c>
      <c r="CD22" s="35">
        <f t="shared" si="9"/>
        <v>2012</v>
      </c>
      <c r="CE22" s="36">
        <f t="shared" si="10"/>
        <v>3329.096144944029</v>
      </c>
      <c r="CF22" s="36">
        <f t="shared" si="11"/>
        <v>39154.41744240909</v>
      </c>
      <c r="CG22" s="37">
        <f t="shared" si="12"/>
        <v>0.7031851269688575</v>
      </c>
      <c r="CH22" s="38">
        <f t="shared" si="13"/>
        <v>27532.804000632084</v>
      </c>
      <c r="CI22" s="38">
        <f t="shared" si="1"/>
        <v>0</v>
      </c>
      <c r="CJ22" s="43">
        <f t="shared" si="14"/>
        <v>273530.58073836175</v>
      </c>
      <c r="CL22" s="55"/>
      <c r="CM22" s="40"/>
      <c r="CN22" s="56"/>
      <c r="CP22" s="40"/>
      <c r="CQ22" s="40"/>
      <c r="CR22" s="40"/>
    </row>
    <row r="23" spans="1:96" ht="13.5" customHeight="1">
      <c r="A23" s="10"/>
      <c r="B23" s="10"/>
      <c r="C23" s="10"/>
      <c r="D23" s="10"/>
      <c r="E23" s="13" t="s">
        <v>8</v>
      </c>
      <c r="F23" s="10"/>
      <c r="G23" s="10"/>
      <c r="H23" s="10"/>
      <c r="I23" s="10"/>
      <c r="J23" s="10"/>
      <c r="K23" s="10"/>
      <c r="L23" s="13" t="s">
        <v>18</v>
      </c>
      <c r="M23" s="10"/>
      <c r="N23" s="10"/>
      <c r="O23" s="10"/>
      <c r="P23" s="10"/>
      <c r="Q23" s="52"/>
      <c r="R23" s="53"/>
      <c r="S23" s="53"/>
      <c r="T23" s="5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2"/>
      <c r="AL23" s="12" t="s">
        <v>40</v>
      </c>
      <c r="AM23" s="12"/>
      <c r="AN23" s="12"/>
      <c r="AO23" s="12"/>
      <c r="AP23" s="12"/>
      <c r="AQ23" s="12"/>
      <c r="AR23" s="10"/>
      <c r="AS23" s="10"/>
      <c r="AT23" s="11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">
        <f t="shared" si="7"/>
        <v>10</v>
      </c>
      <c r="BN23" s="90">
        <f t="shared" si="2"/>
        <v>24371.016364176063</v>
      </c>
      <c r="BO23" s="91"/>
      <c r="BP23" s="91"/>
      <c r="BQ23" s="91"/>
      <c r="BR23" s="92"/>
      <c r="BS23" s="41">
        <f t="shared" si="3"/>
        <v>18000</v>
      </c>
      <c r="BT23" s="33">
        <f>+BN23-BS23-SUM($BT$14:BT22)</f>
        <v>1323.81154071337</v>
      </c>
      <c r="BU23" s="34">
        <f t="shared" si="8"/>
        <v>3100</v>
      </c>
      <c r="BV23" s="27">
        <f t="shared" si="4"/>
        <v>-444.04711482165743</v>
      </c>
      <c r="BW23" s="27">
        <f t="shared" si="0"/>
        <v>89542.38482714273</v>
      </c>
      <c r="BX23" s="27">
        <f>+BW23-$BW$13-(SUM($BX$14:BX22))</f>
        <v>5068.436877008091</v>
      </c>
      <c r="BY23" s="27">
        <f t="shared" si="5"/>
        <v>492.10921925202274</v>
      </c>
      <c r="BZ23" s="27">
        <f t="shared" si="6"/>
        <v>48.06210443036531</v>
      </c>
      <c r="CC23" s="19">
        <f t="shared" si="9"/>
        <v>10</v>
      </c>
      <c r="CD23" s="19">
        <f t="shared" si="9"/>
        <v>2013</v>
      </c>
      <c r="CE23" s="15">
        <f t="shared" si="10"/>
        <v>3395.67806784291</v>
      </c>
      <c r="CF23" s="36">
        <f t="shared" si="11"/>
        <v>39937.50579125728</v>
      </c>
      <c r="CG23" s="42">
        <f t="shared" si="12"/>
        <v>0.6729044277213948</v>
      </c>
      <c r="CH23" s="43">
        <f t="shared" si="13"/>
        <v>26874.124479085873</v>
      </c>
      <c r="CI23" s="38">
        <f t="shared" si="1"/>
        <v>0</v>
      </c>
      <c r="CJ23" s="43">
        <f t="shared" si="14"/>
        <v>300404.7052174476</v>
      </c>
      <c r="CL23" s="8"/>
      <c r="CM23" s="9"/>
      <c r="CN23" s="21"/>
      <c r="CP23" s="9"/>
      <c r="CQ23" s="9"/>
      <c r="CR23" s="9"/>
    </row>
    <row r="24" spans="1:96" ht="12.75">
      <c r="A24" s="10"/>
      <c r="B24" s="10"/>
      <c r="C24" s="10"/>
      <c r="D24" s="10"/>
      <c r="E24" s="73">
        <v>150</v>
      </c>
      <c r="F24" s="70"/>
      <c r="G24" s="70"/>
      <c r="H24" s="70"/>
      <c r="I24" s="71"/>
      <c r="J24" s="10"/>
      <c r="K24" s="10"/>
      <c r="L24" s="72">
        <v>0</v>
      </c>
      <c r="M24" s="74"/>
      <c r="N24" s="75"/>
      <c r="O24" s="10"/>
      <c r="P24" s="10"/>
      <c r="Q24" s="76">
        <f>VLOOKUP(Q9-E9,BL14:BR63,3)</f>
        <v>136158.45915706918</v>
      </c>
      <c r="R24" s="77"/>
      <c r="S24" s="77"/>
      <c r="T24" s="78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2"/>
      <c r="AL24" s="12"/>
      <c r="AM24" s="12"/>
      <c r="AN24" s="12"/>
      <c r="AO24" s="12"/>
      <c r="AP24" s="12"/>
      <c r="AQ24" s="12"/>
      <c r="AR24" s="10"/>
      <c r="AS24" s="10"/>
      <c r="AT24" s="11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">
        <f t="shared" si="7"/>
        <v>11</v>
      </c>
      <c r="BN24" s="90">
        <f t="shared" si="2"/>
        <v>27682.256597332238</v>
      </c>
      <c r="BO24" s="91"/>
      <c r="BP24" s="91"/>
      <c r="BQ24" s="91"/>
      <c r="BR24" s="92"/>
      <c r="BS24" s="41">
        <f t="shared" si="3"/>
        <v>19800</v>
      </c>
      <c r="BT24" s="33">
        <f>+BN24-BS24-SUM($BT$14:BT23)</f>
        <v>1511.2402331561752</v>
      </c>
      <c r="BU24" s="34">
        <f t="shared" si="8"/>
        <v>3100</v>
      </c>
      <c r="BV24" s="27">
        <f t="shared" si="4"/>
        <v>-397.1899417109562</v>
      </c>
      <c r="BW24" s="27">
        <f t="shared" si="0"/>
        <v>94914.92791677131</v>
      </c>
      <c r="BX24" s="27">
        <f>+BW24-$BW$13-(SUM($BX$14:BX23))</f>
        <v>5372.543089628583</v>
      </c>
      <c r="BY24" s="27">
        <f t="shared" si="5"/>
        <v>568.1357724071459</v>
      </c>
      <c r="BZ24" s="27">
        <f t="shared" si="6"/>
        <v>170.94583069618966</v>
      </c>
      <c r="CC24" s="19">
        <f t="shared" si="9"/>
        <v>11</v>
      </c>
      <c r="CD24" s="19">
        <f t="shared" si="9"/>
        <v>2014</v>
      </c>
      <c r="CE24" s="15">
        <f t="shared" si="10"/>
        <v>3463.5916291997682</v>
      </c>
      <c r="CF24" s="36">
        <f t="shared" si="11"/>
        <v>40736.25590708243</v>
      </c>
      <c r="CG24" s="42">
        <f t="shared" si="12"/>
        <v>0.6439276820300429</v>
      </c>
      <c r="CH24" s="43">
        <f t="shared" si="13"/>
        <v>26231.202840830232</v>
      </c>
      <c r="CI24" s="38">
        <f t="shared" si="1"/>
        <v>0</v>
      </c>
      <c r="CJ24" s="43">
        <f t="shared" si="14"/>
        <v>326635.90805827786</v>
      </c>
      <c r="CL24" s="8"/>
      <c r="CM24" s="9"/>
      <c r="CN24" s="21"/>
      <c r="CP24" s="9"/>
      <c r="CQ24" s="9"/>
      <c r="CR24" s="9"/>
    </row>
    <row r="25" spans="1:96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57"/>
      <c r="R25" s="58"/>
      <c r="S25" s="58"/>
      <c r="T25" s="59"/>
      <c r="U25" s="10"/>
      <c r="V25" s="10"/>
      <c r="W25" s="10"/>
      <c r="X25" s="10"/>
      <c r="Y25" s="6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2"/>
      <c r="AL25" s="12"/>
      <c r="AM25" s="12"/>
      <c r="AN25" s="18" t="s">
        <v>42</v>
      </c>
      <c r="AO25" s="12"/>
      <c r="AP25" s="12"/>
      <c r="AQ25" s="12"/>
      <c r="AR25" s="10"/>
      <c r="AS25" s="10"/>
      <c r="AT25" s="11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">
        <f t="shared" si="7"/>
        <v>12</v>
      </c>
      <c r="BN25" s="90">
        <f t="shared" si="2"/>
        <v>31192.171244477788</v>
      </c>
      <c r="BO25" s="91"/>
      <c r="BP25" s="91"/>
      <c r="BQ25" s="91"/>
      <c r="BR25" s="92"/>
      <c r="BS25" s="41">
        <f t="shared" si="3"/>
        <v>21600</v>
      </c>
      <c r="BT25" s="33">
        <f>+BN25-BS25-SUM($BT$14:BT24)</f>
        <v>1709.9146471455497</v>
      </c>
      <c r="BU25" s="34">
        <f t="shared" si="8"/>
        <v>3100</v>
      </c>
      <c r="BV25" s="27">
        <f t="shared" si="4"/>
        <v>-347.52133821361264</v>
      </c>
      <c r="BW25" s="27">
        <f t="shared" si="0"/>
        <v>100609.82359177759</v>
      </c>
      <c r="BX25" s="27">
        <f>+BW25-$BW$13-(SUM($BX$14:BX24))</f>
        <v>5694.895675006279</v>
      </c>
      <c r="BY25" s="27">
        <f t="shared" si="5"/>
        <v>648.7239187515697</v>
      </c>
      <c r="BZ25" s="27">
        <f t="shared" si="6"/>
        <v>301.2025805379571</v>
      </c>
      <c r="CC25" s="19">
        <f t="shared" si="9"/>
        <v>12</v>
      </c>
      <c r="CD25" s="19">
        <f t="shared" si="9"/>
        <v>2015</v>
      </c>
      <c r="CE25" s="15">
        <f t="shared" si="10"/>
        <v>3532.863461783764</v>
      </c>
      <c r="CF25" s="36">
        <f t="shared" si="11"/>
        <v>41550.98102522407</v>
      </c>
      <c r="CG25" s="42">
        <f t="shared" si="12"/>
        <v>0.6161987387847301</v>
      </c>
      <c r="CH25" s="43">
        <f t="shared" si="13"/>
        <v>25603.662103011324</v>
      </c>
      <c r="CI25" s="38">
        <f t="shared" si="1"/>
        <v>0</v>
      </c>
      <c r="CJ25" s="43">
        <f t="shared" si="14"/>
        <v>352239.5701612892</v>
      </c>
      <c r="CL25" s="8"/>
      <c r="CM25" s="9"/>
      <c r="CN25" s="21"/>
      <c r="CP25" s="9"/>
      <c r="CQ25" s="9"/>
      <c r="CR25" s="9"/>
    </row>
    <row r="26" spans="1:96" ht="12.75">
      <c r="A26" s="10"/>
      <c r="B26" s="10"/>
      <c r="C26" s="10"/>
      <c r="D26" s="10"/>
      <c r="E26" s="13" t="s">
        <v>9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9" t="str">
        <f>IF(Q28&lt;0,"Lücke","Überschuß")</f>
        <v>Lücke</v>
      </c>
      <c r="R26" s="120"/>
      <c r="S26" s="120"/>
      <c r="T26" s="121"/>
      <c r="U26" s="10"/>
      <c r="V26" s="10"/>
      <c r="W26" s="10"/>
      <c r="X26" s="10"/>
      <c r="Y26" s="10"/>
      <c r="Z26" s="10"/>
      <c r="AA26" s="10"/>
      <c r="AB26" s="10"/>
      <c r="AC26" s="10" t="s">
        <v>44</v>
      </c>
      <c r="AD26" s="10"/>
      <c r="AE26" s="10"/>
      <c r="AF26" s="10"/>
      <c r="AG26" s="10"/>
      <c r="AH26" s="10"/>
      <c r="AI26" s="10"/>
      <c r="AJ26" s="10"/>
      <c r="AK26" s="12"/>
      <c r="AL26" s="12"/>
      <c r="AM26" s="136">
        <v>2005</v>
      </c>
      <c r="AN26" s="136"/>
      <c r="AO26" s="136"/>
      <c r="AP26" s="12"/>
      <c r="AQ26" s="12"/>
      <c r="AR26" s="10"/>
      <c r="AS26" s="10"/>
      <c r="AT26" s="11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">
        <f t="shared" si="7"/>
        <v>13</v>
      </c>
      <c r="BN26" s="90">
        <f t="shared" si="2"/>
        <v>34912.68077045207</v>
      </c>
      <c r="BO26" s="91"/>
      <c r="BP26" s="91"/>
      <c r="BQ26" s="91"/>
      <c r="BR26" s="92"/>
      <c r="BS26" s="41">
        <f t="shared" si="3"/>
        <v>23400</v>
      </c>
      <c r="BT26" s="33">
        <f>+BN26-BS26-SUM($BT$14:BT25)</f>
        <v>1920.5095259742811</v>
      </c>
      <c r="BU26" s="34">
        <f t="shared" si="8"/>
        <v>3100</v>
      </c>
      <c r="BV26" s="27">
        <f t="shared" si="4"/>
        <v>-294.8726185064297</v>
      </c>
      <c r="BW26" s="27">
        <f t="shared" si="0"/>
        <v>106646.41300728425</v>
      </c>
      <c r="BX26" s="27">
        <f>+BW26-$BW$13-(SUM($BX$14:BX25))</f>
        <v>6036.5894155066635</v>
      </c>
      <c r="BY26" s="27">
        <f t="shared" si="5"/>
        <v>734.1473538766659</v>
      </c>
      <c r="BZ26" s="27">
        <f t="shared" si="6"/>
        <v>439.27473537023616</v>
      </c>
      <c r="CC26" s="19">
        <f t="shared" si="9"/>
        <v>13</v>
      </c>
      <c r="CD26" s="19">
        <f t="shared" si="9"/>
        <v>2016</v>
      </c>
      <c r="CE26" s="15">
        <f t="shared" si="10"/>
        <v>3603.520731019439</v>
      </c>
      <c r="CF26" s="36">
        <f t="shared" si="11"/>
        <v>42382.000645728556</v>
      </c>
      <c r="CG26" s="42">
        <f t="shared" si="12"/>
        <v>0.5896638648657705</v>
      </c>
      <c r="CH26" s="43">
        <f t="shared" si="13"/>
        <v>24991.13430150388</v>
      </c>
      <c r="CI26" s="38">
        <f t="shared" si="1"/>
        <v>0</v>
      </c>
      <c r="CJ26" s="43">
        <f t="shared" si="14"/>
        <v>377230.7044627931</v>
      </c>
      <c r="CL26" s="8"/>
      <c r="CM26" s="9"/>
      <c r="CN26" s="21"/>
      <c r="CP26" s="9"/>
      <c r="CQ26" s="9"/>
      <c r="CR26" s="9"/>
    </row>
    <row r="27" spans="1:96" ht="12.75">
      <c r="A27" s="10"/>
      <c r="B27" s="10"/>
      <c r="C27" s="10"/>
      <c r="D27" s="10"/>
      <c r="E27" s="13" t="s">
        <v>10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57"/>
      <c r="R27" s="58"/>
      <c r="S27" s="58"/>
      <c r="T27" s="59"/>
      <c r="U27" s="10"/>
      <c r="V27" s="10"/>
      <c r="W27" s="10"/>
      <c r="X27" s="10"/>
      <c r="Y27" s="10"/>
      <c r="Z27" s="10"/>
      <c r="AA27" s="10"/>
      <c r="AB27" s="10"/>
      <c r="AC27" s="123" t="s">
        <v>45</v>
      </c>
      <c r="AD27" s="123"/>
      <c r="AE27" s="123"/>
      <c r="AF27" s="123"/>
      <c r="AG27" s="10"/>
      <c r="AH27" s="10"/>
      <c r="AI27" s="10"/>
      <c r="AJ27" s="10"/>
      <c r="AK27" s="12"/>
      <c r="AL27" s="12"/>
      <c r="AM27" s="12"/>
      <c r="AN27" s="12"/>
      <c r="AO27" s="12"/>
      <c r="AP27" s="12"/>
      <c r="AQ27" s="12"/>
      <c r="AR27" s="10"/>
      <c r="AS27" s="10"/>
      <c r="AT27" s="11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">
        <f t="shared" si="7"/>
        <v>14</v>
      </c>
      <c r="BN27" s="90">
        <f t="shared" si="2"/>
        <v>38856.420867984816</v>
      </c>
      <c r="BO27" s="91"/>
      <c r="BP27" s="91"/>
      <c r="BQ27" s="91"/>
      <c r="BR27" s="92"/>
      <c r="BS27" s="41">
        <f t="shared" si="3"/>
        <v>25200</v>
      </c>
      <c r="BT27" s="33">
        <f>+BN27-BS27-SUM($BT$14:BT26)</f>
        <v>2143.7400975327473</v>
      </c>
      <c r="BU27" s="34">
        <f t="shared" si="8"/>
        <v>3100</v>
      </c>
      <c r="BV27" s="27">
        <f t="shared" si="4"/>
        <v>-239.06497561681317</v>
      </c>
      <c r="BW27" s="27">
        <f t="shared" si="0"/>
        <v>113045.1977877213</v>
      </c>
      <c r="BX27" s="27">
        <f>+BW27-$BW$13-(SUM($BX$14:BX26))</f>
        <v>6398.784780437054</v>
      </c>
      <c r="BY27" s="27">
        <f t="shared" si="5"/>
        <v>824.6961951092635</v>
      </c>
      <c r="BZ27" s="27">
        <f t="shared" si="6"/>
        <v>585.6312194924503</v>
      </c>
      <c r="CC27" s="19">
        <f t="shared" si="9"/>
        <v>14</v>
      </c>
      <c r="CD27" s="19">
        <f t="shared" si="9"/>
        <v>2017</v>
      </c>
      <c r="CE27" s="15">
        <f t="shared" si="10"/>
        <v>3675.591145639828</v>
      </c>
      <c r="CF27" s="36">
        <f t="shared" si="11"/>
        <v>43229.64065864313</v>
      </c>
      <c r="CG27" s="42">
        <f t="shared" si="12"/>
        <v>0.5642716410198761</v>
      </c>
      <c r="CH27" s="43">
        <f t="shared" si="13"/>
        <v>24393.26027515212</v>
      </c>
      <c r="CI27" s="38">
        <f t="shared" si="1"/>
        <v>0</v>
      </c>
      <c r="CJ27" s="43">
        <f t="shared" si="14"/>
        <v>401623.9647379452</v>
      </c>
      <c r="CL27" s="8"/>
      <c r="CM27" s="9"/>
      <c r="CN27" s="21"/>
      <c r="CP27" s="9"/>
      <c r="CQ27" s="9"/>
      <c r="CR27" s="9"/>
    </row>
    <row r="28" spans="1:96" ht="12.75">
      <c r="A28" s="10"/>
      <c r="B28" s="10"/>
      <c r="C28" s="10"/>
      <c r="D28" s="10"/>
      <c r="E28" s="79">
        <f>IF(Q28&gt;0,"nein",PMT(BO9/12,(Q9-E9)*12,0,Q28*-1,1))</f>
        <v>-223.06932938294867</v>
      </c>
      <c r="F28" s="80"/>
      <c r="G28" s="80"/>
      <c r="H28" s="80"/>
      <c r="I28" s="81"/>
      <c r="J28" s="10"/>
      <c r="K28" s="10"/>
      <c r="L28" s="10"/>
      <c r="M28" s="10"/>
      <c r="N28" s="10"/>
      <c r="O28" s="10"/>
      <c r="P28" s="10"/>
      <c r="Q28" s="82">
        <f>+Q15+Q20+Q24-Q14</f>
        <v>-203470.7813187983</v>
      </c>
      <c r="R28" s="83"/>
      <c r="S28" s="83"/>
      <c r="T28" s="8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22"/>
      <c r="AL28" s="122"/>
      <c r="AM28" s="122"/>
      <c r="AN28" s="122"/>
      <c r="AO28" s="122"/>
      <c r="AP28" s="122"/>
      <c r="AQ28" s="122"/>
      <c r="AR28" s="10"/>
      <c r="AS28" s="10"/>
      <c r="AT28" s="11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">
        <f t="shared" si="7"/>
        <v>15</v>
      </c>
      <c r="BN28" s="90">
        <f t="shared" si="2"/>
        <v>43036.78537136953</v>
      </c>
      <c r="BO28" s="91"/>
      <c r="BP28" s="91"/>
      <c r="BQ28" s="91"/>
      <c r="BR28" s="92"/>
      <c r="BS28" s="41">
        <f t="shared" si="3"/>
        <v>27000</v>
      </c>
      <c r="BT28" s="33">
        <f>+BN28-BS28-SUM($BT$14:BT27)</f>
        <v>2380.3645033847133</v>
      </c>
      <c r="BU28" s="34">
        <f t="shared" si="8"/>
        <v>3100</v>
      </c>
      <c r="BV28" s="27">
        <f t="shared" si="4"/>
        <v>-179.90887415382167</v>
      </c>
      <c r="BW28" s="27">
        <f t="shared" si="0"/>
        <v>119827.90965498461</v>
      </c>
      <c r="BX28" s="27">
        <f>+BW28-$BW$13-(SUM($BX$14:BX27))</f>
        <v>6782.711867263308</v>
      </c>
      <c r="BY28" s="27">
        <f t="shared" si="5"/>
        <v>920.677966815827</v>
      </c>
      <c r="BZ28" s="27">
        <f t="shared" si="6"/>
        <v>740.7690926620053</v>
      </c>
      <c r="CC28" s="19">
        <f t="shared" si="9"/>
        <v>15</v>
      </c>
      <c r="CD28" s="19">
        <f t="shared" si="9"/>
        <v>2018</v>
      </c>
      <c r="CE28" s="15">
        <f t="shared" si="10"/>
        <v>3749.1029685526246</v>
      </c>
      <c r="CF28" s="36">
        <f t="shared" si="11"/>
        <v>44094.23347181599</v>
      </c>
      <c r="CG28" s="42">
        <f t="shared" si="12"/>
        <v>0.5399728622199772</v>
      </c>
      <c r="CH28" s="43">
        <f t="shared" si="13"/>
        <v>23809.689455172404</v>
      </c>
      <c r="CI28" s="38">
        <f t="shared" si="1"/>
        <v>0</v>
      </c>
      <c r="CJ28" s="43">
        <f t="shared" si="14"/>
        <v>425433.6541931176</v>
      </c>
      <c r="CL28" s="8"/>
      <c r="CM28" s="9"/>
      <c r="CN28" s="21"/>
      <c r="CP28" s="9"/>
      <c r="CQ28" s="9"/>
      <c r="CR28" s="9"/>
    </row>
    <row r="29" spans="1:96" ht="12.75">
      <c r="A29" s="10"/>
      <c r="B29" s="10"/>
      <c r="C29" s="10"/>
      <c r="D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1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">
        <f t="shared" si="7"/>
        <v>16</v>
      </c>
      <c r="BN29" s="90">
        <f t="shared" si="2"/>
        <v>47467.97174495733</v>
      </c>
      <c r="BO29" s="91"/>
      <c r="BP29" s="91"/>
      <c r="BQ29" s="91"/>
      <c r="BR29" s="92"/>
      <c r="BS29" s="41">
        <f t="shared" si="3"/>
        <v>28800</v>
      </c>
      <c r="BT29" s="33">
        <f>+BN29-BS29-SUM($BT$14:BT28)</f>
        <v>2631.1863735877996</v>
      </c>
      <c r="BU29" s="34">
        <f t="shared" si="8"/>
        <v>3100</v>
      </c>
      <c r="BV29" s="27">
        <f t="shared" si="4"/>
        <v>-117.2034066030501</v>
      </c>
      <c r="BW29" s="27">
        <f t="shared" si="0"/>
        <v>127017.58423428367</v>
      </c>
      <c r="BX29" s="27">
        <f>+BW29-$BW$13-(SUM($BX$14:BX28))</f>
        <v>7189.674579299055</v>
      </c>
      <c r="BY29" s="27">
        <f t="shared" si="5"/>
        <v>1022.4186448247638</v>
      </c>
      <c r="BZ29" s="27">
        <f t="shared" si="6"/>
        <v>905.2152382217137</v>
      </c>
      <c r="CC29" s="19">
        <f t="shared" si="9"/>
        <v>16</v>
      </c>
      <c r="CD29" s="19">
        <f t="shared" si="9"/>
        <v>2019</v>
      </c>
      <c r="CE29" s="15">
        <f t="shared" si="10"/>
        <v>3824.085027923677</v>
      </c>
      <c r="CF29" s="36">
        <f t="shared" si="11"/>
        <v>44976.11814125231</v>
      </c>
      <c r="CG29" s="42">
        <f t="shared" si="12"/>
        <v>0.5167204423157676</v>
      </c>
      <c r="CH29" s="43">
        <f t="shared" si="13"/>
        <v>23240.079659594114</v>
      </c>
      <c r="CI29" s="38">
        <f t="shared" si="1"/>
        <v>0</v>
      </c>
      <c r="CJ29" s="43">
        <f t="shared" si="14"/>
        <v>448673.7338527117</v>
      </c>
      <c r="CL29" s="8"/>
      <c r="CM29" s="9"/>
      <c r="CN29" s="21"/>
      <c r="CP29" s="9"/>
      <c r="CQ29" s="9"/>
      <c r="CR29" s="9"/>
    </row>
    <row r="30" spans="1:96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1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">
        <f t="shared" si="7"/>
        <v>17</v>
      </c>
      <c r="BN30" s="90">
        <f t="shared" si="2"/>
        <v>52165.0293009604</v>
      </c>
      <c r="BO30" s="91"/>
      <c r="BP30" s="91"/>
      <c r="BQ30" s="91"/>
      <c r="BR30" s="92"/>
      <c r="BS30" s="41">
        <f t="shared" si="3"/>
        <v>30600</v>
      </c>
      <c r="BT30" s="33">
        <f>+BN30-BS30-SUM($BT$14:BT29)</f>
        <v>2897.05755600307</v>
      </c>
      <c r="BU30" s="34">
        <f t="shared" si="8"/>
        <v>3100</v>
      </c>
      <c r="BV30" s="27">
        <f t="shared" si="4"/>
        <v>-50.73561099923245</v>
      </c>
      <c r="BW30" s="27">
        <f t="shared" si="0"/>
        <v>134638.6392883407</v>
      </c>
      <c r="BX30" s="27">
        <f>+BW30-$BW$13-(SUM($BX$14:BX29))</f>
        <v>7621.055054057026</v>
      </c>
      <c r="BY30" s="27">
        <f t="shared" si="5"/>
        <v>1130.2637635142564</v>
      </c>
      <c r="BZ30" s="27">
        <f t="shared" si="6"/>
        <v>1079.528152515024</v>
      </c>
      <c r="CC30" s="19">
        <f t="shared" si="9"/>
        <v>17</v>
      </c>
      <c r="CD30" s="19">
        <f t="shared" si="9"/>
        <v>2020</v>
      </c>
      <c r="CE30" s="15">
        <f t="shared" si="10"/>
        <v>3900.5667284821507</v>
      </c>
      <c r="CF30" s="36">
        <f t="shared" si="11"/>
        <v>45875.64050407736</v>
      </c>
      <c r="CG30" s="42">
        <f t="shared" si="12"/>
        <v>0.4944693227902083</v>
      </c>
      <c r="CH30" s="43">
        <f t="shared" si="13"/>
        <v>22684.09689261818</v>
      </c>
      <c r="CI30" s="38">
        <f t="shared" si="1"/>
        <v>0</v>
      </c>
      <c r="CJ30" s="43">
        <f t="shared" si="14"/>
        <v>471357.83074532985</v>
      </c>
      <c r="CL30" s="8"/>
      <c r="CM30" s="9"/>
      <c r="CN30" s="21"/>
      <c r="CP30" s="9"/>
      <c r="CQ30" s="9"/>
      <c r="CR30" s="9"/>
    </row>
    <row r="31" spans="1:96" ht="12.75">
      <c r="A31" s="10"/>
      <c r="B31" s="10"/>
      <c r="C31" s="10"/>
      <c r="D31" s="10"/>
      <c r="E31" s="61" t="s">
        <v>38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15">
        <f ca="1">TODAY()</f>
        <v>38584</v>
      </c>
      <c r="AN31" s="115"/>
      <c r="AO31" s="115"/>
      <c r="AP31" s="10"/>
      <c r="AQ31" s="10"/>
      <c r="AR31" s="10"/>
      <c r="AS31" s="10"/>
      <c r="AT31" s="11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">
        <f t="shared" si="7"/>
        <v>18</v>
      </c>
      <c r="BN31" s="90">
        <f t="shared" si="2"/>
        <v>57143.910310323656</v>
      </c>
      <c r="BO31" s="91"/>
      <c r="BP31" s="91"/>
      <c r="BQ31" s="91"/>
      <c r="BR31" s="92"/>
      <c r="BS31" s="41">
        <f t="shared" si="3"/>
        <v>32400</v>
      </c>
      <c r="BT31" s="33">
        <f>+BN31-BS31-SUM($BT$14:BT30)</f>
        <v>3178.8810093632565</v>
      </c>
      <c r="BU31" s="34">
        <f t="shared" si="8"/>
        <v>3100</v>
      </c>
      <c r="BV31" s="27">
        <f t="shared" si="4"/>
        <v>19.720252340814113</v>
      </c>
      <c r="BW31" s="27">
        <f t="shared" si="0"/>
        <v>142716.95764564115</v>
      </c>
      <c r="BX31" s="27">
        <f>+BW31-$BW$13-(SUM($BX$14:BX30))</f>
        <v>8078.31835730045</v>
      </c>
      <c r="BY31" s="27">
        <f t="shared" si="5"/>
        <v>1244.5795893251125</v>
      </c>
      <c r="BZ31" s="27">
        <f t="shared" si="6"/>
        <v>1264.2998416659266</v>
      </c>
      <c r="CC31" s="19">
        <f t="shared" si="9"/>
        <v>18</v>
      </c>
      <c r="CD31" s="19">
        <f t="shared" si="9"/>
        <v>2021</v>
      </c>
      <c r="CE31" s="15">
        <f t="shared" si="10"/>
        <v>3978.578063051794</v>
      </c>
      <c r="CF31" s="36">
        <f t="shared" si="11"/>
        <v>46793.15331415891</v>
      </c>
      <c r="CG31" s="42">
        <f t="shared" si="12"/>
        <v>0.47317638544517543</v>
      </c>
      <c r="CH31" s="43">
        <f t="shared" si="13"/>
        <v>22141.415148775643</v>
      </c>
      <c r="CI31" s="38">
        <f t="shared" si="1"/>
        <v>0</v>
      </c>
      <c r="CJ31" s="43">
        <f t="shared" si="14"/>
        <v>493499.24589410546</v>
      </c>
      <c r="CL31" s="8"/>
      <c r="CM31" s="9"/>
      <c r="CN31" s="21"/>
      <c r="CP31" s="9"/>
      <c r="CQ31" s="9"/>
      <c r="CR31" s="9"/>
    </row>
    <row r="32" spans="1:96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R32" s="10"/>
      <c r="AS32" s="10"/>
      <c r="AT32" s="11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">
        <f t="shared" si="7"/>
        <v>19</v>
      </c>
      <c r="BN32" s="90">
        <f t="shared" si="2"/>
        <v>62421.52418024871</v>
      </c>
      <c r="BO32" s="91"/>
      <c r="BP32" s="91"/>
      <c r="BQ32" s="91"/>
      <c r="BR32" s="92"/>
      <c r="BS32" s="41">
        <f t="shared" si="3"/>
        <v>34200</v>
      </c>
      <c r="BT32" s="33">
        <f>+BN32-BS32-SUM($BT$14:BT31)</f>
        <v>3477.6138699250514</v>
      </c>
      <c r="BU32" s="34">
        <f t="shared" si="8"/>
        <v>3100</v>
      </c>
      <c r="BV32" s="27">
        <f t="shared" si="4"/>
        <v>94.40346748126285</v>
      </c>
      <c r="BW32" s="27">
        <f t="shared" si="0"/>
        <v>151279.9751043796</v>
      </c>
      <c r="BX32" s="27">
        <f>+BW32-$BW$13-(SUM($BX$14:BX31))</f>
        <v>8563.017458738468</v>
      </c>
      <c r="BY32" s="27">
        <f t="shared" si="5"/>
        <v>1365.754364684617</v>
      </c>
      <c r="BZ32" s="27">
        <f t="shared" si="6"/>
        <v>1460.1578321658799</v>
      </c>
      <c r="CC32" s="19">
        <f t="shared" si="9"/>
        <v>19</v>
      </c>
      <c r="CD32" s="19">
        <f t="shared" si="9"/>
        <v>2022</v>
      </c>
      <c r="CE32" s="15">
        <f t="shared" si="10"/>
        <v>4058.14962431283</v>
      </c>
      <c r="CF32" s="36">
        <f t="shared" si="11"/>
        <v>47729.01638044209</v>
      </c>
      <c r="CG32" s="42">
        <f t="shared" si="12"/>
        <v>0.4528003688470579</v>
      </c>
      <c r="CH32" s="43">
        <f t="shared" si="13"/>
        <v>21611.716221771443</v>
      </c>
      <c r="CI32" s="38">
        <f t="shared" si="1"/>
        <v>0</v>
      </c>
      <c r="CJ32" s="43">
        <f t="shared" si="14"/>
        <v>515110.9621158769</v>
      </c>
      <c r="CL32" s="8"/>
      <c r="CM32" s="9"/>
      <c r="CN32" s="21"/>
      <c r="CP32" s="9"/>
      <c r="CQ32" s="9"/>
      <c r="CR32" s="9"/>
    </row>
    <row r="33" spans="1:96" ht="12.75">
      <c r="A33" s="10"/>
      <c r="B33" s="10"/>
      <c r="C33" s="10"/>
      <c r="D33" s="10"/>
      <c r="AR33" s="10"/>
      <c r="AS33" s="10"/>
      <c r="AT33" s="11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">
        <f t="shared" si="7"/>
        <v>20</v>
      </c>
      <c r="BN33" s="90">
        <f t="shared" si="2"/>
        <v>68015.79488236926</v>
      </c>
      <c r="BO33" s="91"/>
      <c r="BP33" s="91"/>
      <c r="BQ33" s="91"/>
      <c r="BR33" s="92"/>
      <c r="BS33" s="41">
        <f t="shared" si="3"/>
        <v>36000</v>
      </c>
      <c r="BT33" s="33">
        <f>+BN33-BS33-SUM($BT$14:BT32)</f>
        <v>3794.2707021205497</v>
      </c>
      <c r="BU33" s="34">
        <f t="shared" si="8"/>
        <v>3100</v>
      </c>
      <c r="BV33" s="27">
        <f t="shared" si="4"/>
        <v>173.56767553013742</v>
      </c>
      <c r="BW33" s="27">
        <f t="shared" si="0"/>
        <v>160356.7736106424</v>
      </c>
      <c r="BX33" s="27">
        <f>+BW33-$BW$13-(SUM($BX$14:BX32))</f>
        <v>9076.7985062628</v>
      </c>
      <c r="BY33" s="27">
        <f t="shared" si="5"/>
        <v>1494.1996265656999</v>
      </c>
      <c r="BZ33" s="27">
        <f t="shared" si="6"/>
        <v>1667.7673020958373</v>
      </c>
      <c r="CC33" s="19">
        <f t="shared" si="9"/>
        <v>20</v>
      </c>
      <c r="CD33" s="19">
        <f t="shared" si="9"/>
        <v>2023</v>
      </c>
      <c r="CE33" s="15">
        <f t="shared" si="10"/>
        <v>4139.312616799087</v>
      </c>
      <c r="CF33" s="36">
        <f t="shared" si="11"/>
        <v>48683.59670805093</v>
      </c>
      <c r="CG33" s="42">
        <f t="shared" si="12"/>
        <v>0.43330178837039035</v>
      </c>
      <c r="CH33" s="43">
        <f t="shared" si="13"/>
        <v>21094.689517901315</v>
      </c>
      <c r="CI33" s="38">
        <f t="shared" si="1"/>
        <v>0</v>
      </c>
      <c r="CJ33" s="43">
        <f t="shared" si="14"/>
        <v>536205.6516337782</v>
      </c>
      <c r="CL33" s="8"/>
      <c r="CM33" s="9"/>
      <c r="CN33" s="21"/>
      <c r="CP33" s="9"/>
      <c r="CQ33" s="9"/>
      <c r="CR33" s="9"/>
    </row>
    <row r="34" spans="1:96" ht="12.75">
      <c r="A34" s="10"/>
      <c r="B34" s="10"/>
      <c r="C34" s="10"/>
      <c r="D34" s="10"/>
      <c r="AP34" s="10"/>
      <c r="AQ34" s="10"/>
      <c r="AR34" s="10"/>
      <c r="AS34" s="10"/>
      <c r="AT34" s="11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">
        <f t="shared" si="7"/>
        <v>21</v>
      </c>
      <c r="BN34" s="90">
        <f t="shared" si="2"/>
        <v>73945.72182661705</v>
      </c>
      <c r="BO34" s="91"/>
      <c r="BP34" s="91"/>
      <c r="BQ34" s="91"/>
      <c r="BR34" s="92"/>
      <c r="BS34" s="41">
        <f t="shared" si="3"/>
        <v>37800</v>
      </c>
      <c r="BT34" s="33">
        <f>+BN34-BS34-SUM($BT$14:BT33)</f>
        <v>4129.926944247796</v>
      </c>
      <c r="BU34" s="34">
        <f t="shared" si="8"/>
        <v>3100</v>
      </c>
      <c r="BV34" s="27">
        <f t="shared" si="4"/>
        <v>257.48173606194905</v>
      </c>
      <c r="BW34" s="27">
        <f t="shared" si="0"/>
        <v>169978.180027281</v>
      </c>
      <c r="BX34" s="27">
        <f>+BW34-$BW$13-(SUM($BX$14:BX33))</f>
        <v>9621.40641663858</v>
      </c>
      <c r="BY34" s="27">
        <f t="shared" si="5"/>
        <v>1630.351604159645</v>
      </c>
      <c r="BZ34" s="27">
        <f t="shared" si="6"/>
        <v>1887.833340221594</v>
      </c>
      <c r="CC34" s="19">
        <f t="shared" si="9"/>
        <v>21</v>
      </c>
      <c r="CD34" s="19">
        <f t="shared" si="9"/>
        <v>2024</v>
      </c>
      <c r="CE34" s="15">
        <f t="shared" si="10"/>
        <v>4222.0988691350685</v>
      </c>
      <c r="CF34" s="36">
        <f t="shared" si="11"/>
        <v>49657.26864221195</v>
      </c>
      <c r="CG34" s="42">
        <f t="shared" si="12"/>
        <v>0.4146428596845841</v>
      </c>
      <c r="CH34" s="43">
        <f t="shared" si="13"/>
        <v>20590.03187393239</v>
      </c>
      <c r="CI34" s="38">
        <f t="shared" si="1"/>
        <v>0</v>
      </c>
      <c r="CJ34" s="43">
        <f t="shared" si="14"/>
        <v>556795.6835077106</v>
      </c>
      <c r="CL34" s="8"/>
      <c r="CM34" s="9"/>
      <c r="CN34" s="21"/>
      <c r="CP34" s="9"/>
      <c r="CQ34" s="9"/>
      <c r="CR34" s="9"/>
    </row>
    <row r="35" spans="1:96" ht="12.75">
      <c r="A35" s="10"/>
      <c r="B35" s="10"/>
      <c r="C35" s="10"/>
      <c r="D35" s="10"/>
      <c r="AP35" s="10"/>
      <c r="AQ35" s="10"/>
      <c r="AR35" s="62"/>
      <c r="AS35" s="63"/>
      <c r="AT35" s="64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">
        <f t="shared" si="7"/>
        <v>22</v>
      </c>
      <c r="BN35" s="90">
        <f t="shared" si="2"/>
        <v>80231.44438751972</v>
      </c>
      <c r="BO35" s="91"/>
      <c r="BP35" s="91"/>
      <c r="BQ35" s="91"/>
      <c r="BR35" s="92"/>
      <c r="BS35" s="41">
        <f t="shared" si="3"/>
        <v>39600</v>
      </c>
      <c r="BT35" s="33">
        <f>+BN35-BS35-SUM($BT$14:BT34)</f>
        <v>4485.722560902665</v>
      </c>
      <c r="BU35" s="34">
        <f t="shared" si="8"/>
        <v>3100</v>
      </c>
      <c r="BV35" s="27">
        <f t="shared" si="4"/>
        <v>346.43064022566614</v>
      </c>
      <c r="BW35" s="27">
        <f t="shared" si="0"/>
        <v>180176.87082891783</v>
      </c>
      <c r="BX35" s="27">
        <f>+BW35-$BW$13-(SUM($BX$14:BX34))</f>
        <v>10198.69080163684</v>
      </c>
      <c r="BY35" s="27">
        <f t="shared" si="5"/>
        <v>1774.67270040921</v>
      </c>
      <c r="BZ35" s="27">
        <f t="shared" si="6"/>
        <v>2121.103340634876</v>
      </c>
      <c r="CC35" s="19">
        <f t="shared" si="9"/>
        <v>22</v>
      </c>
      <c r="CD35" s="19">
        <f t="shared" si="9"/>
        <v>2025</v>
      </c>
      <c r="CE35" s="15">
        <f t="shared" si="10"/>
        <v>4306.54084651777</v>
      </c>
      <c r="CF35" s="36">
        <f t="shared" si="11"/>
        <v>50650.41401505619</v>
      </c>
      <c r="CG35" s="42">
        <f t="shared" si="12"/>
        <v>0.3967874255354872</v>
      </c>
      <c r="CH35" s="43">
        <f t="shared" si="13"/>
        <v>20097.4473793407</v>
      </c>
      <c r="CI35" s="38">
        <f t="shared" si="1"/>
        <v>0</v>
      </c>
      <c r="CJ35" s="43">
        <f t="shared" si="14"/>
        <v>576893.1308870512</v>
      </c>
      <c r="CL35" s="8"/>
      <c r="CM35" s="9"/>
      <c r="CN35" s="21"/>
      <c r="CP35" s="65"/>
      <c r="CQ35" s="65"/>
      <c r="CR35" s="65"/>
    </row>
    <row r="36" spans="44:96" ht="12.75">
      <c r="AR36" s="10"/>
      <c r="AS36" s="10"/>
      <c r="AT36" s="66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">
        <f t="shared" si="7"/>
        <v>23</v>
      </c>
      <c r="BN36" s="90">
        <f t="shared" si="2"/>
        <v>86894.31030207654</v>
      </c>
      <c r="BO36" s="91"/>
      <c r="BP36" s="91"/>
      <c r="BQ36" s="91"/>
      <c r="BR36" s="92"/>
      <c r="BS36" s="41">
        <f t="shared" si="3"/>
        <v>41400</v>
      </c>
      <c r="BT36" s="33">
        <f>+BN36-BS36-SUM($BT$14:BT35)</f>
        <v>4862.865914556824</v>
      </c>
      <c r="BU36" s="34">
        <f t="shared" si="8"/>
        <v>3100</v>
      </c>
      <c r="BV36" s="27">
        <f t="shared" si="4"/>
        <v>440.7164786392059</v>
      </c>
      <c r="BW36" s="27">
        <f t="shared" si="0"/>
        <v>190987.48307865293</v>
      </c>
      <c r="BX36" s="27">
        <f>+BW36-$BW$13-(SUM($BX$14:BX35))</f>
        <v>10810.612249735103</v>
      </c>
      <c r="BY36" s="27">
        <f t="shared" si="5"/>
        <v>1927.6530624337756</v>
      </c>
      <c r="BZ36" s="27">
        <f t="shared" si="6"/>
        <v>2368.3695410729815</v>
      </c>
      <c r="CC36" s="19">
        <f t="shared" si="9"/>
        <v>23</v>
      </c>
      <c r="CD36" s="19">
        <f t="shared" si="9"/>
        <v>2026</v>
      </c>
      <c r="CE36" s="15">
        <f t="shared" si="10"/>
        <v>4392.671663448125</v>
      </c>
      <c r="CF36" s="36">
        <f t="shared" si="11"/>
        <v>51663.42229535731</v>
      </c>
      <c r="CG36" s="42">
        <f t="shared" si="12"/>
        <v>0.3797008856798921</v>
      </c>
      <c r="CH36" s="43">
        <f t="shared" si="13"/>
        <v>19616.647202801454</v>
      </c>
      <c r="CI36" s="38">
        <f t="shared" si="1"/>
        <v>0</v>
      </c>
      <c r="CJ36" s="43">
        <f t="shared" si="14"/>
        <v>596509.7780898527</v>
      </c>
      <c r="CL36" s="8"/>
      <c r="CM36" s="9"/>
      <c r="CN36" s="21"/>
      <c r="CP36" s="9"/>
      <c r="CQ36" s="9"/>
      <c r="CR36" s="9"/>
    </row>
    <row r="37" spans="44:96" ht="12.75">
      <c r="AR37" s="10"/>
      <c r="AS37" s="10"/>
      <c r="AT37" s="66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">
        <f t="shared" si="7"/>
        <v>24</v>
      </c>
      <c r="BN37" s="90">
        <f t="shared" si="2"/>
        <v>93956.94817150678</v>
      </c>
      <c r="BO37" s="91"/>
      <c r="BP37" s="91"/>
      <c r="BQ37" s="91"/>
      <c r="BR37" s="92"/>
      <c r="BS37" s="41">
        <f t="shared" si="3"/>
        <v>43200</v>
      </c>
      <c r="BT37" s="33">
        <f>+BN37-BS37-SUM($BT$14:BT36)</f>
        <v>5262.63786943024</v>
      </c>
      <c r="BU37" s="34">
        <f t="shared" si="8"/>
        <v>3100</v>
      </c>
      <c r="BV37" s="27">
        <f t="shared" si="4"/>
        <v>540.6594673575601</v>
      </c>
      <c r="BW37" s="27">
        <f t="shared" si="0"/>
        <v>202446.7320633721</v>
      </c>
      <c r="BX37" s="27">
        <f>+BW37-$BW$13-(SUM($BX$14:BX36))</f>
        <v>11459.248984719161</v>
      </c>
      <c r="BY37" s="27">
        <f t="shared" si="5"/>
        <v>2089.8122461797902</v>
      </c>
      <c r="BZ37" s="27">
        <f t="shared" si="6"/>
        <v>2630.4717135373503</v>
      </c>
      <c r="CC37" s="19">
        <f t="shared" si="9"/>
        <v>24</v>
      </c>
      <c r="CD37" s="19">
        <f t="shared" si="9"/>
        <v>2027</v>
      </c>
      <c r="CE37" s="15">
        <f t="shared" si="10"/>
        <v>4480.525096717088</v>
      </c>
      <c r="CF37" s="36">
        <f t="shared" si="11"/>
        <v>52696.69074126446</v>
      </c>
      <c r="CG37" s="42">
        <f t="shared" si="12"/>
        <v>0.3633501298372173</v>
      </c>
      <c r="CH37" s="43">
        <f t="shared" si="13"/>
        <v>19147.349422830128</v>
      </c>
      <c r="CI37" s="38">
        <f t="shared" si="1"/>
        <v>0</v>
      </c>
      <c r="CJ37" s="43">
        <f t="shared" si="14"/>
        <v>615657.1275126828</v>
      </c>
      <c r="CL37" s="8"/>
      <c r="CM37" s="9"/>
      <c r="CN37" s="21"/>
      <c r="CP37" s="9"/>
      <c r="CQ37" s="9"/>
      <c r="CR37" s="9"/>
    </row>
    <row r="38" spans="1:96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66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">
        <f t="shared" si="7"/>
        <v>25</v>
      </c>
      <c r="BN38" s="90">
        <f t="shared" si="2"/>
        <v>101443.34431310285</v>
      </c>
      <c r="BO38" s="91"/>
      <c r="BP38" s="91"/>
      <c r="BQ38" s="91"/>
      <c r="BR38" s="92"/>
      <c r="BS38" s="41">
        <f t="shared" si="3"/>
        <v>45000</v>
      </c>
      <c r="BT38" s="33">
        <f>+BN38-BS38-SUM($BT$14:BT37)</f>
        <v>5686.396141596066</v>
      </c>
      <c r="BU38" s="34">
        <f t="shared" si="8"/>
        <v>3100</v>
      </c>
      <c r="BV38" s="27">
        <f t="shared" si="4"/>
        <v>646.5990353990164</v>
      </c>
      <c r="BW38" s="27">
        <f t="shared" si="0"/>
        <v>214593.5359871744</v>
      </c>
      <c r="BX38" s="27">
        <f>+BW38-$BW$13-(SUM($BX$14:BX37))</f>
        <v>12146.803923802305</v>
      </c>
      <c r="BY38" s="27">
        <f t="shared" si="5"/>
        <v>2261.700980950576</v>
      </c>
      <c r="BZ38" s="27">
        <f t="shared" si="6"/>
        <v>2908.3000163495926</v>
      </c>
      <c r="CC38" s="19">
        <f t="shared" si="9"/>
        <v>25</v>
      </c>
      <c r="CD38" s="19">
        <f t="shared" si="9"/>
        <v>2028</v>
      </c>
      <c r="CE38" s="15">
        <f t="shared" si="10"/>
        <v>4570.13559865143</v>
      </c>
      <c r="CF38" s="36">
        <f t="shared" si="11"/>
        <v>53750.62455608975</v>
      </c>
      <c r="CG38" s="42">
        <f t="shared" si="12"/>
        <v>0.34770347352843767</v>
      </c>
      <c r="CH38" s="43">
        <f t="shared" si="13"/>
        <v>18689.278862475345</v>
      </c>
      <c r="CI38" s="38">
        <f t="shared" si="1"/>
        <v>0</v>
      </c>
      <c r="CJ38" s="43">
        <f t="shared" si="14"/>
        <v>634346.4063751581</v>
      </c>
      <c r="CL38" s="8"/>
      <c r="CM38" s="9"/>
      <c r="CN38" s="21"/>
      <c r="CP38" s="9"/>
      <c r="CQ38" s="9"/>
      <c r="CR38" s="9"/>
    </row>
    <row r="39" spans="1:96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66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">
        <f t="shared" si="7"/>
        <v>26</v>
      </c>
      <c r="BN39" s="90">
        <f t="shared" si="2"/>
        <v>109378.92422319468</v>
      </c>
      <c r="BO39" s="91"/>
      <c r="BP39" s="91"/>
      <c r="BQ39" s="91"/>
      <c r="BR39" s="92"/>
      <c r="BS39" s="41">
        <f t="shared" si="3"/>
        <v>46800</v>
      </c>
      <c r="BT39" s="33">
        <f>+BN39-BS39-SUM($BT$14:BT38)</f>
        <v>6135.5799100918375</v>
      </c>
      <c r="BU39" s="34">
        <f t="shared" si="8"/>
        <v>3100</v>
      </c>
      <c r="BV39" s="27">
        <f t="shared" si="4"/>
        <v>758.8949775229594</v>
      </c>
      <c r="BW39" s="27">
        <f t="shared" si="0"/>
        <v>227469.14814640488</v>
      </c>
      <c r="BX39" s="27">
        <f>+BW39-$BW$13-(SUM($BX$14:BX38))</f>
        <v>12875.612159230484</v>
      </c>
      <c r="BY39" s="27">
        <f t="shared" si="5"/>
        <v>2443.903039807621</v>
      </c>
      <c r="BZ39" s="27">
        <f t="shared" si="6"/>
        <v>3202.7980173305805</v>
      </c>
      <c r="CC39" s="19">
        <f t="shared" si="9"/>
        <v>26</v>
      </c>
      <c r="CD39" s="19">
        <f t="shared" si="9"/>
        <v>2029</v>
      </c>
      <c r="CE39" s="15">
        <f t="shared" si="10"/>
        <v>4661.538310624459</v>
      </c>
      <c r="CF39" s="36">
        <f t="shared" si="11"/>
        <v>54825.63704721155</v>
      </c>
      <c r="CG39" s="42">
        <f t="shared" si="12"/>
        <v>0.3327305966779308</v>
      </c>
      <c r="CH39" s="43">
        <f t="shared" si="13"/>
        <v>18242.16692796637</v>
      </c>
      <c r="CI39" s="38">
        <f t="shared" si="1"/>
        <v>7960.06212148161</v>
      </c>
      <c r="CJ39" s="43">
        <f t="shared" si="14"/>
        <v>660548.6354246062</v>
      </c>
      <c r="CL39" s="8"/>
      <c r="CM39" s="9"/>
      <c r="CN39" s="21"/>
      <c r="CP39" s="9"/>
      <c r="CQ39" s="9"/>
      <c r="CR39" s="9"/>
    </row>
    <row r="40" spans="1:9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66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">
        <f t="shared" si="7"/>
        <v>27</v>
      </c>
      <c r="BN40" s="90">
        <f t="shared" si="2"/>
        <v>117790.63892789203</v>
      </c>
      <c r="BO40" s="91"/>
      <c r="BP40" s="91"/>
      <c r="BQ40" s="91"/>
      <c r="BR40" s="92"/>
      <c r="BS40" s="41">
        <f t="shared" si="3"/>
        <v>48600</v>
      </c>
      <c r="BT40" s="33">
        <f>+BN40-BS40-SUM($BT$14:BT39)</f>
        <v>6611.7147046973405</v>
      </c>
      <c r="BU40" s="34">
        <f t="shared" si="8"/>
        <v>3100</v>
      </c>
      <c r="BV40" s="27">
        <f t="shared" si="4"/>
        <v>877.9286761743351</v>
      </c>
      <c r="BW40" s="27">
        <f t="shared" si="0"/>
        <v>241117.29703518923</v>
      </c>
      <c r="BX40" s="27">
        <f>+BW40-$BW$13-(SUM($BX$14:BX39))</f>
        <v>13648.148888784344</v>
      </c>
      <c r="BY40" s="27">
        <f t="shared" si="5"/>
        <v>2637.037222196086</v>
      </c>
      <c r="BZ40" s="27">
        <f t="shared" si="6"/>
        <v>3514.965898370421</v>
      </c>
      <c r="CC40" s="19">
        <f t="shared" si="9"/>
        <v>27</v>
      </c>
      <c r="CD40" s="19">
        <f t="shared" si="9"/>
        <v>2030</v>
      </c>
      <c r="CE40" s="15">
        <f t="shared" si="10"/>
        <v>4754.769076836948</v>
      </c>
      <c r="CF40" s="36">
        <f t="shared" si="11"/>
        <v>55922.14978815579</v>
      </c>
      <c r="CG40" s="42">
        <f t="shared" si="12"/>
        <v>0.318402484859264</v>
      </c>
      <c r="CH40" s="43">
        <f t="shared" si="13"/>
        <v>17805.751451220767</v>
      </c>
      <c r="CI40" s="38">
        <f t="shared" si="1"/>
        <v>0</v>
      </c>
      <c r="CJ40" s="43">
        <f t="shared" si="14"/>
        <v>678354.3868758269</v>
      </c>
      <c r="CL40" s="8"/>
      <c r="CM40" s="9"/>
      <c r="CN40" s="21"/>
      <c r="CP40" s="9"/>
      <c r="CQ40" s="9"/>
    </row>
    <row r="41" spans="1:95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66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">
        <f t="shared" si="7"/>
        <v>28</v>
      </c>
      <c r="BN41" s="90">
        <f t="shared" si="2"/>
        <v>126707.05651487122</v>
      </c>
      <c r="BO41" s="91"/>
      <c r="BP41" s="91"/>
      <c r="BQ41" s="91"/>
      <c r="BR41" s="92"/>
      <c r="BS41" s="41">
        <f t="shared" si="3"/>
        <v>50400</v>
      </c>
      <c r="BT41" s="33">
        <f>+BN41-BS41-SUM($BT$14:BT40)</f>
        <v>7116.417586979194</v>
      </c>
      <c r="BU41" s="34">
        <f t="shared" si="8"/>
        <v>3100</v>
      </c>
      <c r="BV41" s="27">
        <f t="shared" si="4"/>
        <v>1004.1043967447986</v>
      </c>
      <c r="BW41" s="27">
        <f t="shared" si="0"/>
        <v>255584.3348573006</v>
      </c>
      <c r="BX41" s="27">
        <f>+BW41-$BW$13-(SUM($BX$14:BX40))</f>
        <v>14467.037822111364</v>
      </c>
      <c r="BY41" s="27">
        <f t="shared" si="5"/>
        <v>2841.7594555278415</v>
      </c>
      <c r="BZ41" s="27">
        <f t="shared" si="6"/>
        <v>3845.86385227264</v>
      </c>
      <c r="CC41" s="19">
        <f t="shared" si="9"/>
        <v>28</v>
      </c>
      <c r="CD41" s="19">
        <f t="shared" si="9"/>
        <v>2031</v>
      </c>
      <c r="CE41" s="15">
        <f t="shared" si="10"/>
        <v>4849.864458373688</v>
      </c>
      <c r="CF41" s="36">
        <f t="shared" si="11"/>
        <v>57040.59278391891</v>
      </c>
      <c r="CG41" s="42">
        <f t="shared" si="12"/>
        <v>0.30469137307106603</v>
      </c>
      <c r="CH41" s="43">
        <f t="shared" si="13"/>
        <v>17379.776536119793</v>
      </c>
      <c r="CI41" s="38">
        <f t="shared" si="1"/>
        <v>0</v>
      </c>
      <c r="CJ41" s="43">
        <f t="shared" si="14"/>
        <v>695734.1634119466</v>
      </c>
      <c r="CL41" s="8"/>
      <c r="CM41" s="9"/>
      <c r="CN41" s="21"/>
      <c r="CP41" s="9"/>
      <c r="CQ41" s="9"/>
    </row>
    <row r="42" spans="1:9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66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">
        <f t="shared" si="7"/>
        <v>29</v>
      </c>
      <c r="BN42" s="90">
        <f t="shared" si="2"/>
        <v>136158.45915706918</v>
      </c>
      <c r="BO42" s="91"/>
      <c r="BP42" s="91"/>
      <c r="BQ42" s="91"/>
      <c r="BR42" s="92"/>
      <c r="BS42" s="41">
        <f t="shared" si="3"/>
        <v>52200</v>
      </c>
      <c r="BT42" s="33">
        <f>+BN42-BS42-SUM($BT$14:BT41)</f>
        <v>7651.402642197965</v>
      </c>
      <c r="BU42" s="34">
        <f t="shared" si="8"/>
        <v>3100</v>
      </c>
      <c r="BV42" s="27">
        <f t="shared" si="4"/>
        <v>1137.8506605494913</v>
      </c>
      <c r="BW42" s="27">
        <f t="shared" si="0"/>
        <v>270919.3949487386</v>
      </c>
      <c r="BX42" s="27">
        <f>+BW42-$BW$13-(SUM($BX$14:BX41))</f>
        <v>15335.060091438034</v>
      </c>
      <c r="BY42" s="27">
        <f t="shared" si="5"/>
        <v>3058.765022859508</v>
      </c>
      <c r="BZ42" s="27">
        <f t="shared" si="6"/>
        <v>4196.615683409</v>
      </c>
      <c r="CC42" s="19">
        <f t="shared" si="9"/>
        <v>29</v>
      </c>
      <c r="CD42" s="19">
        <f t="shared" si="9"/>
        <v>2032</v>
      </c>
      <c r="CE42" s="15">
        <f t="shared" si="10"/>
        <v>4946.861747541162</v>
      </c>
      <c r="CF42" s="36">
        <f t="shared" si="11"/>
        <v>58181.40463959729</v>
      </c>
      <c r="CG42" s="42">
        <f t="shared" si="12"/>
        <v>0.2915706919340345</v>
      </c>
      <c r="CH42" s="43">
        <f t="shared" si="13"/>
        <v>16963.99240846143</v>
      </c>
      <c r="CI42" s="38">
        <f t="shared" si="1"/>
        <v>0</v>
      </c>
      <c r="CJ42" s="43">
        <f t="shared" si="14"/>
        <v>712698.155820408</v>
      </c>
      <c r="CL42" s="8"/>
      <c r="CM42" s="9"/>
      <c r="CN42" s="21"/>
      <c r="CP42" s="9"/>
      <c r="CQ42" s="9"/>
    </row>
    <row r="43" spans="1:95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66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">
        <f t="shared" si="7"/>
        <v>30</v>
      </c>
      <c r="BN43" s="90">
        <f t="shared" si="2"/>
        <v>146176.94595779903</v>
      </c>
      <c r="BO43" s="91"/>
      <c r="BP43" s="91"/>
      <c r="BQ43" s="91"/>
      <c r="BR43" s="92"/>
      <c r="BS43" s="41">
        <f t="shared" si="3"/>
        <v>54000</v>
      </c>
      <c r="BT43" s="33">
        <f>+BN43-BS43-SUM($BT$14:BT42)</f>
        <v>8218.48680072985</v>
      </c>
      <c r="BU43" s="34">
        <f t="shared" si="8"/>
        <v>3100</v>
      </c>
      <c r="BV43" s="27">
        <f t="shared" si="4"/>
        <v>1279.6217001824625</v>
      </c>
      <c r="BW43" s="27">
        <f t="shared" si="0"/>
        <v>287174.55864566297</v>
      </c>
      <c r="BX43" s="27">
        <f>+BW43-$BW$13-(SUM($BX$14:BX42))</f>
        <v>16255.163696924341</v>
      </c>
      <c r="BY43" s="27">
        <f t="shared" si="5"/>
        <v>3288.7909242310852</v>
      </c>
      <c r="BZ43" s="27">
        <f t="shared" si="6"/>
        <v>4568.412624413548</v>
      </c>
      <c r="CC43" s="19">
        <f t="shared" si="9"/>
        <v>30</v>
      </c>
      <c r="CD43" s="19">
        <f t="shared" si="9"/>
        <v>2033</v>
      </c>
      <c r="CE43" s="15">
        <f t="shared" si="10"/>
        <v>5045.798982491985</v>
      </c>
      <c r="CF43" s="36">
        <f t="shared" si="11"/>
        <v>59345.032732389234</v>
      </c>
      <c r="CG43" s="42">
        <f t="shared" si="12"/>
        <v>0.2790150162048177</v>
      </c>
      <c r="CH43" s="43">
        <f t="shared" si="13"/>
        <v>16558.15526950302</v>
      </c>
      <c r="CI43" s="38">
        <f t="shared" si="1"/>
        <v>0</v>
      </c>
      <c r="CJ43" s="43">
        <f t="shared" si="14"/>
        <v>729256.311089911</v>
      </c>
      <c r="CL43" s="8"/>
      <c r="CM43" s="9"/>
      <c r="CN43" s="21"/>
      <c r="CP43" s="9"/>
      <c r="CQ43" s="9"/>
    </row>
    <row r="44" spans="1:95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66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">
        <f t="shared" si="7"/>
        <v>31</v>
      </c>
      <c r="BN44" s="90">
        <f t="shared" si="2"/>
        <v>156796.5419665727</v>
      </c>
      <c r="BO44" s="91"/>
      <c r="BP44" s="91"/>
      <c r="BQ44" s="91"/>
      <c r="BR44" s="92"/>
      <c r="BS44" s="41">
        <f t="shared" si="3"/>
        <v>55800</v>
      </c>
      <c r="BT44" s="33">
        <f>+BN44-BS44-SUM($BT$14:BT43)</f>
        <v>8819.59600877366</v>
      </c>
      <c r="BU44" s="34">
        <f t="shared" si="8"/>
        <v>3100</v>
      </c>
      <c r="BV44" s="27">
        <f t="shared" si="4"/>
        <v>1429.899002193415</v>
      </c>
      <c r="BW44" s="27">
        <f t="shared" si="0"/>
        <v>304405.03216440283</v>
      </c>
      <c r="BX44" s="27">
        <f>+BW44-$BW$13-(SUM($BX$14:BX43))</f>
        <v>17230.473518739862</v>
      </c>
      <c r="BY44" s="27">
        <f t="shared" si="5"/>
        <v>3532.6183796849655</v>
      </c>
      <c r="BZ44" s="27">
        <f t="shared" si="6"/>
        <v>4962.517381878381</v>
      </c>
      <c r="CC44" s="19">
        <f t="shared" si="9"/>
        <v>31</v>
      </c>
      <c r="CD44" s="19">
        <f t="shared" si="9"/>
        <v>2034</v>
      </c>
      <c r="CE44" s="15">
        <f t="shared" si="10"/>
        <v>5146.714962141825</v>
      </c>
      <c r="CF44" s="36">
        <f t="shared" si="11"/>
        <v>60531.93338703702</v>
      </c>
      <c r="CG44" s="42">
        <f t="shared" si="12"/>
        <v>0.26700001550700264</v>
      </c>
      <c r="CH44" s="43">
        <f t="shared" si="13"/>
        <v>16162.027153007735</v>
      </c>
      <c r="CI44" s="38">
        <f t="shared" si="1"/>
        <v>0</v>
      </c>
      <c r="CJ44" s="43">
        <f t="shared" si="14"/>
        <v>745418.3382429187</v>
      </c>
      <c r="CL44" s="8"/>
      <c r="CM44" s="9"/>
      <c r="CN44" s="21"/>
      <c r="CP44" s="9"/>
      <c r="CQ44" s="9"/>
    </row>
    <row r="45" spans="1:9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66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">
        <f t="shared" si="7"/>
        <v>32</v>
      </c>
      <c r="BN45" s="90">
        <f t="shared" si="2"/>
        <v>168053.31373587277</v>
      </c>
      <c r="BO45" s="91"/>
      <c r="BP45" s="91"/>
      <c r="BQ45" s="91"/>
      <c r="BR45" s="92"/>
      <c r="BS45" s="41">
        <f t="shared" si="3"/>
        <v>57600</v>
      </c>
      <c r="BT45" s="33">
        <f>+BN45-BS45-SUM($BT$14:BT44)</f>
        <v>9456.771769300074</v>
      </c>
      <c r="BU45" s="34">
        <f t="shared" si="8"/>
        <v>3100</v>
      </c>
      <c r="BV45" s="27">
        <f t="shared" si="4"/>
        <v>1589.1929423250185</v>
      </c>
      <c r="BW45" s="27">
        <f t="shared" si="0"/>
        <v>322669.33409426693</v>
      </c>
      <c r="BX45" s="27">
        <f>+BW45-$BW$13-(SUM($BX$14:BX44))</f>
        <v>18264.3019298641</v>
      </c>
      <c r="BY45" s="27">
        <f t="shared" si="5"/>
        <v>3791.0754824660253</v>
      </c>
      <c r="BZ45" s="27">
        <f t="shared" si="6"/>
        <v>5380.268424791044</v>
      </c>
      <c r="CC45" s="19">
        <f t="shared" si="9"/>
        <v>32</v>
      </c>
      <c r="CD45" s="19">
        <f t="shared" si="9"/>
        <v>2035</v>
      </c>
      <c r="CE45" s="15">
        <f t="shared" si="10"/>
        <v>5249.649261384661</v>
      </c>
      <c r="CF45" s="36">
        <f t="shared" si="11"/>
        <v>61742.57205477776</v>
      </c>
      <c r="CG45" s="42">
        <f t="shared" si="12"/>
        <v>0.2555024071837346</v>
      </c>
      <c r="CH45" s="43">
        <f t="shared" si="13"/>
        <v>15775.375785710901</v>
      </c>
      <c r="CI45" s="38">
        <f t="shared" si="1"/>
        <v>0</v>
      </c>
      <c r="CJ45" s="43">
        <f t="shared" si="14"/>
        <v>761193.7140286296</v>
      </c>
      <c r="CL45" s="8"/>
      <c r="CM45" s="9"/>
      <c r="CN45" s="21"/>
      <c r="CP45" s="9"/>
      <c r="CQ45" s="9"/>
    </row>
    <row r="46" spans="1:95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66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">
        <f t="shared" si="7"/>
        <v>33</v>
      </c>
      <c r="BN46" s="90">
        <f t="shared" si="2"/>
        <v>179985.49181133087</v>
      </c>
      <c r="BO46" s="91"/>
      <c r="BP46" s="91"/>
      <c r="BQ46" s="91"/>
      <c r="BR46" s="92"/>
      <c r="BS46" s="41">
        <f t="shared" si="3"/>
        <v>59400</v>
      </c>
      <c r="BT46" s="33">
        <f>+BN46-BS46-SUM($BT$14:BT45)</f>
        <v>10132.178075458098</v>
      </c>
      <c r="BU46" s="34">
        <f t="shared" si="8"/>
        <v>3100</v>
      </c>
      <c r="BV46" s="27">
        <f t="shared" si="4"/>
        <v>1758.0445188645244</v>
      </c>
      <c r="BW46" s="27">
        <f aca="true" t="shared" si="15" ref="BW46:BW63">+(1+$AL$12)^BL46*$BW$13</f>
        <v>342029.49413992296</v>
      </c>
      <c r="BX46" s="27">
        <f>+BW46-$BW$13-(SUM($BX$14:BX45))</f>
        <v>19360.160045656026</v>
      </c>
      <c r="BY46" s="27">
        <f t="shared" si="5"/>
        <v>4065.0400114140066</v>
      </c>
      <c r="BZ46" s="27">
        <f t="shared" si="6"/>
        <v>5823.084530278531</v>
      </c>
      <c r="CC46" s="19">
        <f t="shared" si="9"/>
        <v>33</v>
      </c>
      <c r="CD46" s="19">
        <f t="shared" si="9"/>
        <v>2036</v>
      </c>
      <c r="CE46" s="15">
        <f t="shared" si="10"/>
        <v>5354.642246612355</v>
      </c>
      <c r="CF46" s="36">
        <f t="shared" si="11"/>
        <v>62977.42349587332</v>
      </c>
      <c r="CG46" s="42">
        <f t="shared" si="12"/>
        <v>0.24449991118060732</v>
      </c>
      <c r="CH46" s="43">
        <f t="shared" si="13"/>
        <v>15397.974451124519</v>
      </c>
      <c r="CI46" s="38">
        <f aca="true" t="shared" si="16" ref="CI46:CI62">IF($CE$12=CC46,PV($AL$15,CC46,0,-$X$20,1),0)</f>
        <v>0</v>
      </c>
      <c r="CJ46" s="43">
        <f t="shared" si="14"/>
        <v>776591.6884797541</v>
      </c>
      <c r="CL46" s="8"/>
      <c r="CM46" s="9"/>
      <c r="CN46" s="21"/>
      <c r="CP46" s="9"/>
      <c r="CQ46" s="9"/>
    </row>
    <row r="47" spans="1:9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66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">
        <f t="shared" si="7"/>
        <v>34</v>
      </c>
      <c r="BN47" s="90">
        <f aca="true" t="shared" si="17" ref="BN47:BN63">FV($BO$9/12,12,-$E$24*(1+$L$24)^BL47,-BN46)</f>
        <v>192633.60057131646</v>
      </c>
      <c r="BO47" s="91"/>
      <c r="BP47" s="91"/>
      <c r="BQ47" s="91"/>
      <c r="BR47" s="92"/>
      <c r="BS47" s="41">
        <f aca="true" t="shared" si="18" ref="BS47:BS63">($BS$14*(1+$L$24)^BL46)+BS46</f>
        <v>61200</v>
      </c>
      <c r="BT47" s="33">
        <f>+BN47-BS47-SUM($BT$14:BT46)</f>
        <v>10848.108759985596</v>
      </c>
      <c r="BU47" s="34">
        <f t="shared" si="8"/>
        <v>3100</v>
      </c>
      <c r="BV47" s="27">
        <f t="shared" si="4"/>
        <v>1937.027189996399</v>
      </c>
      <c r="BW47" s="27">
        <f t="shared" si="15"/>
        <v>362551.2637883184</v>
      </c>
      <c r="BX47" s="27">
        <f>+BW47-$BW$13-(SUM($BX$14:BX46))</f>
        <v>20521.76964839542</v>
      </c>
      <c r="BY47" s="27">
        <f t="shared" si="5"/>
        <v>4355.442412098855</v>
      </c>
      <c r="BZ47" s="27">
        <f t="shared" si="6"/>
        <v>6292.469602095254</v>
      </c>
      <c r="CC47" s="19">
        <f t="shared" si="9"/>
        <v>34</v>
      </c>
      <c r="CD47" s="19">
        <f t="shared" si="9"/>
        <v>2037</v>
      </c>
      <c r="CE47" s="15">
        <f t="shared" si="10"/>
        <v>5461.735091544602</v>
      </c>
      <c r="CF47" s="36">
        <f t="shared" si="11"/>
        <v>64236.97196579079</v>
      </c>
      <c r="CG47" s="42">
        <f t="shared" si="12"/>
        <v>0.23397120687139458</v>
      </c>
      <c r="CH47" s="43">
        <f t="shared" si="13"/>
        <v>15029.601856600011</v>
      </c>
      <c r="CI47" s="38">
        <f t="shared" si="16"/>
        <v>0</v>
      </c>
      <c r="CJ47" s="43">
        <f t="shared" si="14"/>
        <v>791621.2903363542</v>
      </c>
      <c r="CL47" s="8"/>
      <c r="CM47" s="9"/>
      <c r="CN47" s="21"/>
      <c r="CP47" s="9"/>
      <c r="CQ47" s="9"/>
    </row>
    <row r="48" spans="1:95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66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">
        <f t="shared" si="7"/>
        <v>35</v>
      </c>
      <c r="BN48" s="90">
        <f t="shared" si="17"/>
        <v>206040.5958569012</v>
      </c>
      <c r="BO48" s="91"/>
      <c r="BP48" s="91"/>
      <c r="BQ48" s="91"/>
      <c r="BR48" s="92"/>
      <c r="BS48" s="41">
        <f t="shared" si="18"/>
        <v>63000</v>
      </c>
      <c r="BT48" s="33">
        <f>+BN48-BS48-SUM($BT$14:BT47)</f>
        <v>11606.995285584737</v>
      </c>
      <c r="BU48" s="34">
        <f t="shared" si="8"/>
        <v>3100</v>
      </c>
      <c r="BV48" s="27">
        <f t="shared" si="4"/>
        <v>2126.748821396184</v>
      </c>
      <c r="BW48" s="27">
        <f t="shared" si="15"/>
        <v>384304.33961561753</v>
      </c>
      <c r="BX48" s="27">
        <f>+BW48-$BW$13-(SUM($BX$14:BX47))</f>
        <v>21753.07582729915</v>
      </c>
      <c r="BY48" s="27">
        <f t="shared" si="5"/>
        <v>4663.268956824788</v>
      </c>
      <c r="BZ48" s="27">
        <f t="shared" si="6"/>
        <v>6790.017778220972</v>
      </c>
      <c r="CC48" s="19">
        <f t="shared" si="9"/>
        <v>35</v>
      </c>
      <c r="CD48" s="19">
        <f t="shared" si="9"/>
        <v>2038</v>
      </c>
      <c r="CE48" s="15">
        <f t="shared" si="10"/>
        <v>5570.969793375494</v>
      </c>
      <c r="CF48" s="36">
        <f t="shared" si="11"/>
        <v>65521.71140510661</v>
      </c>
      <c r="CG48" s="42">
        <f t="shared" si="12"/>
        <v>0.22389589174296134</v>
      </c>
      <c r="CH48" s="43">
        <f t="shared" si="13"/>
        <v>14670.042003571305</v>
      </c>
      <c r="CI48" s="38">
        <f t="shared" si="16"/>
        <v>0</v>
      </c>
      <c r="CJ48" s="43">
        <f t="shared" si="14"/>
        <v>806291.3323399255</v>
      </c>
      <c r="CL48" s="8"/>
      <c r="CM48" s="9"/>
      <c r="CN48" s="21"/>
      <c r="CP48" s="9"/>
      <c r="CQ48" s="9"/>
    </row>
    <row r="49" spans="1:9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66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">
        <f t="shared" si="7"/>
        <v>36</v>
      </c>
      <c r="BN49" s="90">
        <f t="shared" si="17"/>
        <v>220252.01085962102</v>
      </c>
      <c r="BO49" s="91"/>
      <c r="BP49" s="91"/>
      <c r="BQ49" s="91"/>
      <c r="BR49" s="92"/>
      <c r="BS49" s="41">
        <f t="shared" si="18"/>
        <v>64800</v>
      </c>
      <c r="BT49" s="33">
        <f>+BN49-BS49-SUM($BT$14:BT48)</f>
        <v>12411.41500271982</v>
      </c>
      <c r="BU49" s="34">
        <f t="shared" si="8"/>
        <v>3100</v>
      </c>
      <c r="BV49" s="27">
        <f t="shared" si="4"/>
        <v>2327.853750679955</v>
      </c>
      <c r="BW49" s="27">
        <f t="shared" si="15"/>
        <v>407362.5999925546</v>
      </c>
      <c r="BX49" s="27">
        <f>+BW49-$BW$13-(SUM($BX$14:BX48))</f>
        <v>23058.260376937047</v>
      </c>
      <c r="BY49" s="27">
        <f t="shared" si="5"/>
        <v>4989.565094234262</v>
      </c>
      <c r="BZ49" s="27">
        <f t="shared" si="6"/>
        <v>7317.418844914217</v>
      </c>
      <c r="CC49" s="19">
        <f aca="true" t="shared" si="19" ref="CC49:CC62">+CC48+1</f>
        <v>36</v>
      </c>
      <c r="CD49" s="19">
        <f aca="true" t="shared" si="20" ref="CD49:CD62">+CD48+1</f>
        <v>2039</v>
      </c>
      <c r="CE49" s="15">
        <f t="shared" si="10"/>
        <v>5682.389189243004</v>
      </c>
      <c r="CF49" s="36">
        <f t="shared" si="11"/>
        <v>66832.14563320874</v>
      </c>
      <c r="CG49" s="42">
        <f t="shared" si="12"/>
        <v>0.21425444185929315</v>
      </c>
      <c r="CH49" s="43">
        <f aca="true" t="shared" si="21" ref="CH49:CH62">CG49*CF49</f>
        <v>14319.084060902134</v>
      </c>
      <c r="CI49" s="38">
        <f t="shared" si="16"/>
        <v>0</v>
      </c>
      <c r="CJ49" s="43">
        <f t="shared" si="14"/>
        <v>820610.4164008276</v>
      </c>
      <c r="CL49" s="8"/>
      <c r="CM49" s="9"/>
      <c r="CN49" s="21"/>
      <c r="CP49" s="9"/>
      <c r="CQ49" s="9"/>
    </row>
    <row r="50" spans="1:9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66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">
        <f t="shared" si="7"/>
        <v>37</v>
      </c>
      <c r="BN50" s="90">
        <f t="shared" si="17"/>
        <v>235316.11076250405</v>
      </c>
      <c r="BO50" s="91"/>
      <c r="BP50" s="91"/>
      <c r="BQ50" s="91"/>
      <c r="BR50" s="92"/>
      <c r="BS50" s="41">
        <f t="shared" si="18"/>
        <v>66600</v>
      </c>
      <c r="BT50" s="33">
        <f>+BN50-BS50-SUM($BT$14:BT49)</f>
        <v>13264.099902883027</v>
      </c>
      <c r="BU50" s="34">
        <f t="shared" si="8"/>
        <v>3100</v>
      </c>
      <c r="BV50" s="27">
        <f t="shared" si="4"/>
        <v>2541.0249757207566</v>
      </c>
      <c r="BW50" s="27">
        <f t="shared" si="15"/>
        <v>431804.3559921079</v>
      </c>
      <c r="BX50" s="27">
        <f>+BW50-$BW$13-(SUM($BX$14:BX49))</f>
        <v>24441.75599955331</v>
      </c>
      <c r="BY50" s="27">
        <f t="shared" si="5"/>
        <v>5335.438999888326</v>
      </c>
      <c r="BZ50" s="27">
        <f t="shared" si="6"/>
        <v>7876.463975609083</v>
      </c>
      <c r="CC50" s="19">
        <f t="shared" si="19"/>
        <v>37</v>
      </c>
      <c r="CD50" s="19">
        <f t="shared" si="20"/>
        <v>2040</v>
      </c>
      <c r="CE50" s="15">
        <f t="shared" si="10"/>
        <v>5796.036973027864</v>
      </c>
      <c r="CF50" s="36">
        <f t="shared" si="11"/>
        <v>68168.78854587291</v>
      </c>
      <c r="CG50" s="42">
        <f t="shared" si="12"/>
        <v>0.20502817402803175</v>
      </c>
      <c r="CH50" s="43">
        <f t="shared" si="21"/>
        <v>13976.52224126333</v>
      </c>
      <c r="CI50" s="38">
        <f t="shared" si="16"/>
        <v>0</v>
      </c>
      <c r="CJ50" s="43">
        <f t="shared" si="14"/>
        <v>834586.9386420909</v>
      </c>
      <c r="CL50" s="8"/>
      <c r="CM50" s="9"/>
      <c r="CN50" s="21"/>
      <c r="CP50" s="9"/>
      <c r="CQ50" s="9"/>
    </row>
    <row r="51" spans="1:9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66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">
        <f t="shared" si="7"/>
        <v>38</v>
      </c>
      <c r="BN51" s="90">
        <f t="shared" si="17"/>
        <v>251284.05665956007</v>
      </c>
      <c r="BO51" s="91"/>
      <c r="BP51" s="91"/>
      <c r="BQ51" s="91"/>
      <c r="BR51" s="92"/>
      <c r="BS51" s="41">
        <f t="shared" si="18"/>
        <v>68400</v>
      </c>
      <c r="BT51" s="33">
        <f>+BN51-BS51-SUM($BT$14:BT50)</f>
        <v>14167.945897056023</v>
      </c>
      <c r="BU51" s="34">
        <f t="shared" si="8"/>
        <v>3100</v>
      </c>
      <c r="BV51" s="27">
        <f t="shared" si="4"/>
        <v>2766.9864742640057</v>
      </c>
      <c r="BW51" s="27">
        <f t="shared" si="15"/>
        <v>457712.6173516344</v>
      </c>
      <c r="BX51" s="27">
        <f>+BW51-$BW$13-(SUM($BX$14:BX50))</f>
        <v>25908.261359526543</v>
      </c>
      <c r="BY51" s="27">
        <f t="shared" si="5"/>
        <v>5702.065339881636</v>
      </c>
      <c r="BZ51" s="27">
        <f t="shared" si="6"/>
        <v>8469.051814145641</v>
      </c>
      <c r="CC51" s="19">
        <f t="shared" si="19"/>
        <v>38</v>
      </c>
      <c r="CD51" s="19">
        <f t="shared" si="20"/>
        <v>2041</v>
      </c>
      <c r="CE51" s="15">
        <f t="shared" si="10"/>
        <v>5911.957712488422</v>
      </c>
      <c r="CF51" s="36">
        <f t="shared" si="11"/>
        <v>69532.16431679038</v>
      </c>
      <c r="CG51" s="42">
        <f t="shared" si="12"/>
        <v>0.19619920959620266</v>
      </c>
      <c r="CH51" s="43">
        <f t="shared" si="21"/>
        <v>13642.15568046756</v>
      </c>
      <c r="CI51" s="38">
        <f t="shared" si="16"/>
        <v>0</v>
      </c>
      <c r="CJ51" s="43">
        <f t="shared" si="14"/>
        <v>848229.0943225585</v>
      </c>
      <c r="CL51" s="8"/>
      <c r="CM51" s="9"/>
      <c r="CN51" s="21"/>
      <c r="CP51" s="9"/>
      <c r="CQ51" s="9"/>
    </row>
    <row r="52" spans="1:9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">
        <f t="shared" si="7"/>
        <v>39</v>
      </c>
      <c r="BN52" s="90">
        <f t="shared" si="17"/>
        <v>268210.0793104394</v>
      </c>
      <c r="BO52" s="91"/>
      <c r="BP52" s="91"/>
      <c r="BQ52" s="91"/>
      <c r="BR52" s="92"/>
      <c r="BS52" s="41">
        <f t="shared" si="18"/>
        <v>70200</v>
      </c>
      <c r="BT52" s="33">
        <f>+BN52-BS52-SUM($BT$14:BT51)</f>
        <v>15126.022650879342</v>
      </c>
      <c r="BU52" s="34">
        <f t="shared" si="8"/>
        <v>3100</v>
      </c>
      <c r="BV52" s="27">
        <f t="shared" si="4"/>
        <v>3006.5056627198355</v>
      </c>
      <c r="BW52" s="27">
        <f t="shared" si="15"/>
        <v>485175.37439273257</v>
      </c>
      <c r="BX52" s="27">
        <f>+BW52-$BW$13-(SUM($BX$14:BX51))</f>
        <v>27462.757041098143</v>
      </c>
      <c r="BY52" s="27">
        <f t="shared" si="5"/>
        <v>6090.689260274535</v>
      </c>
      <c r="BZ52" s="27">
        <f t="shared" si="6"/>
        <v>9097.194922994371</v>
      </c>
      <c r="CC52" s="19">
        <f t="shared" si="19"/>
        <v>39</v>
      </c>
      <c r="CD52" s="19">
        <f t="shared" si="20"/>
        <v>2042</v>
      </c>
      <c r="CE52" s="15">
        <f t="shared" si="10"/>
        <v>6030.196866738191</v>
      </c>
      <c r="CF52" s="36">
        <f t="shared" si="11"/>
        <v>70922.80760312619</v>
      </c>
      <c r="CG52" s="42">
        <f t="shared" si="12"/>
        <v>0.18775043980497863</v>
      </c>
      <c r="CH52" s="43">
        <f t="shared" si="21"/>
        <v>13315.788319690824</v>
      </c>
      <c r="CI52" s="38">
        <f t="shared" si="16"/>
        <v>0</v>
      </c>
      <c r="CJ52" s="43">
        <f t="shared" si="14"/>
        <v>861544.8826422493</v>
      </c>
      <c r="CL52" s="8"/>
      <c r="CM52" s="9"/>
      <c r="CN52" s="21"/>
      <c r="CP52" s="9"/>
      <c r="CQ52" s="9"/>
    </row>
    <row r="53" spans="1:9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">
        <f t="shared" si="7"/>
        <v>40</v>
      </c>
      <c r="BN53" s="90">
        <f t="shared" si="17"/>
        <v>286151.66332037153</v>
      </c>
      <c r="BO53" s="91"/>
      <c r="BP53" s="91"/>
      <c r="BQ53" s="91"/>
      <c r="BR53" s="92"/>
      <c r="BS53" s="41">
        <f t="shared" si="18"/>
        <v>72000</v>
      </c>
      <c r="BT53" s="33">
        <f>+BN53-BS53-SUM($BT$14:BT52)</f>
        <v>16141.584009932121</v>
      </c>
      <c r="BU53" s="34">
        <f t="shared" si="8"/>
        <v>3100</v>
      </c>
      <c r="BV53" s="27">
        <f t="shared" si="4"/>
        <v>3260.3960024830303</v>
      </c>
      <c r="BW53" s="27">
        <f t="shared" si="15"/>
        <v>514285.89685629646</v>
      </c>
      <c r="BX53" s="27">
        <f>+BW53-$BW$13-(SUM($BX$14:BX52))</f>
        <v>29110.522463563888</v>
      </c>
      <c r="BY53" s="27">
        <f t="shared" si="5"/>
        <v>6502.630615890971</v>
      </c>
      <c r="BZ53" s="27">
        <f t="shared" si="6"/>
        <v>9763.026618374002</v>
      </c>
      <c r="CC53" s="19">
        <f t="shared" si="19"/>
        <v>40</v>
      </c>
      <c r="CD53" s="19">
        <f t="shared" si="20"/>
        <v>2043</v>
      </c>
      <c r="CE53" s="15">
        <f t="shared" si="10"/>
        <v>6150.800804072955</v>
      </c>
      <c r="CF53" s="36">
        <f t="shared" si="11"/>
        <v>72341.26375518872</v>
      </c>
      <c r="CG53" s="42">
        <f t="shared" si="12"/>
        <v>0.1796654926363432</v>
      </c>
      <c r="CH53" s="43">
        <f t="shared" si="21"/>
        <v>12997.22879051162</v>
      </c>
      <c r="CI53" s="38">
        <f t="shared" si="16"/>
        <v>0</v>
      </c>
      <c r="CJ53" s="43">
        <f t="shared" si="14"/>
        <v>874542.111432761</v>
      </c>
      <c r="CL53" s="8"/>
      <c r="CM53" s="9"/>
      <c r="CN53" s="21"/>
      <c r="CP53" s="9"/>
      <c r="CQ53" s="9"/>
    </row>
    <row r="54" spans="1:9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">
        <f t="shared" si="7"/>
        <v>41</v>
      </c>
      <c r="BN54" s="90">
        <f t="shared" si="17"/>
        <v>305169.7423708996</v>
      </c>
      <c r="BO54" s="91"/>
      <c r="BP54" s="91"/>
      <c r="BQ54" s="91"/>
      <c r="BR54" s="92"/>
      <c r="BS54" s="41">
        <f t="shared" si="18"/>
        <v>73800</v>
      </c>
      <c r="BT54" s="33">
        <f>+BN54-BS54-SUM($BT$14:BT53)</f>
        <v>17218.07905052806</v>
      </c>
      <c r="BU54" s="34">
        <f t="shared" si="8"/>
        <v>3100</v>
      </c>
      <c r="BV54" s="27">
        <f t="shared" si="4"/>
        <v>3529.519762632015</v>
      </c>
      <c r="BW54" s="27">
        <f t="shared" si="15"/>
        <v>545143.0506676742</v>
      </c>
      <c r="BX54" s="27">
        <f>+BW54-$BW$13-(SUM($BX$14:BX53))</f>
        <v>30857.153811377706</v>
      </c>
      <c r="BY54" s="27">
        <f t="shared" si="5"/>
        <v>6939.2884528444265</v>
      </c>
      <c r="BZ54" s="27">
        <f t="shared" si="6"/>
        <v>10468.808215476442</v>
      </c>
      <c r="CC54" s="19">
        <f t="shared" si="19"/>
        <v>41</v>
      </c>
      <c r="CD54" s="19">
        <f t="shared" si="20"/>
        <v>2044</v>
      </c>
      <c r="CE54" s="15">
        <f t="shared" si="10"/>
        <v>6273.816820154414</v>
      </c>
      <c r="CF54" s="36">
        <f t="shared" si="11"/>
        <v>73788.0890302925</v>
      </c>
      <c r="CG54" s="42">
        <f t="shared" si="12"/>
        <v>0.1719287010874098</v>
      </c>
      <c r="CH54" s="43">
        <f t="shared" si="21"/>
        <v>12686.29030270034</v>
      </c>
      <c r="CI54" s="38">
        <f t="shared" si="16"/>
        <v>0</v>
      </c>
      <c r="CJ54" s="43">
        <f t="shared" si="14"/>
        <v>887228.4017354613</v>
      </c>
      <c r="CL54" s="8"/>
      <c r="CM54" s="9"/>
      <c r="CN54" s="21"/>
      <c r="CP54" s="9"/>
      <c r="CQ54" s="9"/>
    </row>
    <row r="55" spans="1:95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">
        <f t="shared" si="7"/>
        <v>42</v>
      </c>
      <c r="BN55" s="90">
        <f t="shared" si="17"/>
        <v>325328.90616445936</v>
      </c>
      <c r="BO55" s="91"/>
      <c r="BP55" s="91"/>
      <c r="BQ55" s="91"/>
      <c r="BR55" s="92"/>
      <c r="BS55" s="41">
        <f t="shared" si="18"/>
        <v>75600</v>
      </c>
      <c r="BT55" s="33">
        <f>+BN55-BS55-SUM($BT$14:BT54)</f>
        <v>18359.16379355977</v>
      </c>
      <c r="BU55" s="34">
        <f t="shared" si="8"/>
        <v>3100</v>
      </c>
      <c r="BV55" s="27">
        <f t="shared" si="4"/>
        <v>3814.790948389942</v>
      </c>
      <c r="BW55" s="27">
        <f t="shared" si="15"/>
        <v>577851.6337077348</v>
      </c>
      <c r="BX55" s="27">
        <f>+BW55-$BW$13-(SUM($BX$14:BX54))</f>
        <v>32708.583040060592</v>
      </c>
      <c r="BY55" s="27">
        <f t="shared" si="5"/>
        <v>7402.145760015148</v>
      </c>
      <c r="BZ55" s="27">
        <f t="shared" si="6"/>
        <v>11216.93670840509</v>
      </c>
      <c r="CC55" s="19">
        <f t="shared" si="19"/>
        <v>42</v>
      </c>
      <c r="CD55" s="19">
        <f t="shared" si="20"/>
        <v>2045</v>
      </c>
      <c r="CE55" s="15">
        <f t="shared" si="10"/>
        <v>6399.293156557503</v>
      </c>
      <c r="CF55" s="36">
        <f t="shared" si="11"/>
        <v>75263.85081089835</v>
      </c>
      <c r="CG55" s="42">
        <f t="shared" si="12"/>
        <v>0.16452507281091847</v>
      </c>
      <c r="CH55" s="43">
        <f t="shared" si="21"/>
        <v>12382.790534693157</v>
      </c>
      <c r="CI55" s="38">
        <f t="shared" si="16"/>
        <v>0</v>
      </c>
      <c r="CJ55" s="43">
        <f t="shared" si="14"/>
        <v>899611.1922701545</v>
      </c>
      <c r="CL55" s="8"/>
      <c r="CM55" s="9"/>
      <c r="CN55" s="21"/>
      <c r="CP55" s="9"/>
      <c r="CQ55" s="9"/>
    </row>
    <row r="56" spans="1:9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">
        <f t="shared" si="7"/>
        <v>43</v>
      </c>
      <c r="BN56" s="90">
        <f t="shared" si="17"/>
        <v>346697.6197856327</v>
      </c>
      <c r="BO56" s="91"/>
      <c r="BP56" s="91"/>
      <c r="BQ56" s="91"/>
      <c r="BR56" s="92"/>
      <c r="BS56" s="41">
        <f t="shared" si="18"/>
        <v>77400</v>
      </c>
      <c r="BT56" s="33">
        <f>+BN56-BS56-SUM($BT$14:BT55)</f>
        <v>19568.713621173345</v>
      </c>
      <c r="BU56" s="34">
        <f t="shared" si="8"/>
        <v>3100</v>
      </c>
      <c r="BV56" s="27">
        <f t="shared" si="4"/>
        <v>4117.178405293336</v>
      </c>
      <c r="BW56" s="27">
        <f t="shared" si="15"/>
        <v>612522.7317301988</v>
      </c>
      <c r="BX56" s="27">
        <f>+BW56-$BW$13-(SUM($BX$14:BX55))</f>
        <v>34671.09802246408</v>
      </c>
      <c r="BY56" s="27">
        <f t="shared" si="5"/>
        <v>7892.77450561602</v>
      </c>
      <c r="BZ56" s="27">
        <f t="shared" si="6"/>
        <v>12009.952910909356</v>
      </c>
      <c r="CC56" s="19">
        <f t="shared" si="19"/>
        <v>43</v>
      </c>
      <c r="CD56" s="19">
        <f t="shared" si="20"/>
        <v>2046</v>
      </c>
      <c r="CE56" s="15">
        <f t="shared" si="10"/>
        <v>6527.279019688653</v>
      </c>
      <c r="CF56" s="36">
        <f t="shared" si="11"/>
        <v>76769.12782711632</v>
      </c>
      <c r="CG56" s="42">
        <f t="shared" si="12"/>
        <v>0.15744026106307987</v>
      </c>
      <c r="CH56" s="43">
        <f t="shared" si="21"/>
        <v>12086.551526686142</v>
      </c>
      <c r="CI56" s="38">
        <f t="shared" si="16"/>
        <v>0</v>
      </c>
      <c r="CJ56" s="43">
        <f t="shared" si="14"/>
        <v>911697.7437968407</v>
      </c>
      <c r="CL56" s="8"/>
      <c r="CM56" s="9"/>
      <c r="CN56" s="21"/>
      <c r="CP56" s="9"/>
      <c r="CQ56" s="9"/>
    </row>
    <row r="57" spans="1:95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">
        <f t="shared" si="7"/>
        <v>44</v>
      </c>
      <c r="BN57" s="90">
        <f t="shared" si="17"/>
        <v>369348.4562240765</v>
      </c>
      <c r="BO57" s="91"/>
      <c r="BP57" s="91"/>
      <c r="BQ57" s="91"/>
      <c r="BR57" s="92"/>
      <c r="BS57" s="41">
        <f t="shared" si="18"/>
        <v>79200</v>
      </c>
      <c r="BT57" s="33">
        <f>+BN57-BS57-SUM($BT$14:BT56)</f>
        <v>20850.836438443803</v>
      </c>
      <c r="BU57" s="34">
        <f t="shared" si="8"/>
        <v>3100</v>
      </c>
      <c r="BV57" s="27">
        <f t="shared" si="4"/>
        <v>4437.709109610951</v>
      </c>
      <c r="BW57" s="27">
        <f t="shared" si="15"/>
        <v>649274.0956340109</v>
      </c>
      <c r="BX57" s="27">
        <f>+BW57-$BW$13-(SUM($BX$14:BX56))</f>
        <v>36751.363903812016</v>
      </c>
      <c r="BY57" s="27">
        <f t="shared" si="5"/>
        <v>8412.840975953004</v>
      </c>
      <c r="BZ57" s="27">
        <f t="shared" si="6"/>
        <v>12850.550085563955</v>
      </c>
      <c r="CC57" s="19">
        <f t="shared" si="19"/>
        <v>44</v>
      </c>
      <c r="CD57" s="19">
        <f t="shared" si="20"/>
        <v>2047</v>
      </c>
      <c r="CE57" s="15">
        <f t="shared" si="10"/>
        <v>6657.824600082426</v>
      </c>
      <c r="CF57" s="36">
        <f t="shared" si="11"/>
        <v>78304.51038365863</v>
      </c>
      <c r="CG57" s="42">
        <f t="shared" si="12"/>
        <v>0.15066053690246878</v>
      </c>
      <c r="CH57" s="43">
        <f t="shared" si="21"/>
        <v>11797.39957628695</v>
      </c>
      <c r="CI57" s="38">
        <f t="shared" si="16"/>
        <v>0</v>
      </c>
      <c r="CJ57" s="43">
        <f t="shared" si="14"/>
        <v>923495.1433731276</v>
      </c>
      <c r="CL57" s="8"/>
      <c r="CM57" s="9"/>
      <c r="CN57" s="21"/>
      <c r="CP57" s="9"/>
      <c r="CQ57" s="9"/>
    </row>
    <row r="58" spans="1:95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">
        <f t="shared" si="7"/>
        <v>45</v>
      </c>
      <c r="BN58" s="90">
        <f t="shared" si="17"/>
        <v>393358.34284882696</v>
      </c>
      <c r="BO58" s="91"/>
      <c r="BP58" s="91"/>
      <c r="BQ58" s="91"/>
      <c r="BR58" s="92"/>
      <c r="BS58" s="41">
        <f t="shared" si="18"/>
        <v>81000</v>
      </c>
      <c r="BT58" s="33">
        <f>+BN58-BS58-SUM($BT$14:BT57)</f>
        <v>22209.88662475045</v>
      </c>
      <c r="BU58" s="34">
        <f t="shared" si="8"/>
        <v>3100</v>
      </c>
      <c r="BV58" s="27">
        <f t="shared" si="4"/>
        <v>4777.471656187612</v>
      </c>
      <c r="BW58" s="27">
        <f t="shared" si="15"/>
        <v>688230.5413720516</v>
      </c>
      <c r="BX58" s="27">
        <f>+BW58-$BW$13-(SUM($BX$14:BX57))</f>
        <v>38956.445738040726</v>
      </c>
      <c r="BY58" s="27">
        <f t="shared" si="5"/>
        <v>8964.111434510181</v>
      </c>
      <c r="BZ58" s="27">
        <f t="shared" si="6"/>
        <v>13741.583090697794</v>
      </c>
      <c r="CC58" s="19">
        <f t="shared" si="19"/>
        <v>45</v>
      </c>
      <c r="CD58" s="19">
        <f t="shared" si="20"/>
        <v>2048</v>
      </c>
      <c r="CE58" s="15">
        <f t="shared" si="10"/>
        <v>6790.981092084075</v>
      </c>
      <c r="CF58" s="36">
        <f t="shared" si="11"/>
        <v>79870.60059133181</v>
      </c>
      <c r="CG58" s="42">
        <f t="shared" si="12"/>
        <v>0.14417276258609454</v>
      </c>
      <c r="CH58" s="43">
        <f t="shared" si="21"/>
        <v>11515.165136662863</v>
      </c>
      <c r="CI58" s="38">
        <f t="shared" si="16"/>
        <v>0</v>
      </c>
      <c r="CJ58" s="43">
        <f t="shared" si="14"/>
        <v>935010.3085097905</v>
      </c>
      <c r="CL58" s="8"/>
      <c r="CM58" s="9"/>
      <c r="CN58" s="21"/>
      <c r="CP58" s="9"/>
      <c r="CQ58" s="9"/>
    </row>
    <row r="59" spans="1:9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">
        <f t="shared" si="7"/>
        <v>46</v>
      </c>
      <c r="BN59" s="90">
        <f t="shared" si="17"/>
        <v>418808.82267106243</v>
      </c>
      <c r="BO59" s="91"/>
      <c r="BP59" s="91"/>
      <c r="BQ59" s="91"/>
      <c r="BR59" s="92"/>
      <c r="BS59" s="41">
        <f t="shared" si="18"/>
        <v>82800</v>
      </c>
      <c r="BT59" s="33">
        <f>+BN59-BS59-SUM($BT$14:BT58)</f>
        <v>23650.479822235473</v>
      </c>
      <c r="BU59" s="34">
        <f t="shared" si="8"/>
        <v>3100</v>
      </c>
      <c r="BV59" s="27">
        <f t="shared" si="4"/>
        <v>5137.619955558868</v>
      </c>
      <c r="BW59" s="27">
        <f t="shared" si="15"/>
        <v>729524.3738543746</v>
      </c>
      <c r="BX59" s="27">
        <f>+BW59-$BW$13-(SUM($BX$14:BX58))</f>
        <v>41293.83248232305</v>
      </c>
      <c r="BY59" s="27">
        <f t="shared" si="5"/>
        <v>9548.458120580763</v>
      </c>
      <c r="BZ59" s="27">
        <f t="shared" si="6"/>
        <v>14686.07807613963</v>
      </c>
      <c r="CC59" s="19">
        <f t="shared" si="19"/>
        <v>46</v>
      </c>
      <c r="CD59" s="19">
        <f t="shared" si="20"/>
        <v>2049</v>
      </c>
      <c r="CE59" s="15">
        <f t="shared" si="10"/>
        <v>6926.800713925756</v>
      </c>
      <c r="CF59" s="36">
        <f t="shared" si="11"/>
        <v>81468.01260315845</v>
      </c>
      <c r="CG59" s="42">
        <f t="shared" si="12"/>
        <v>0.13796436611109528</v>
      </c>
      <c r="CH59" s="43">
        <f t="shared" si="21"/>
        <v>11239.682717125477</v>
      </c>
      <c r="CI59" s="38">
        <f t="shared" si="16"/>
        <v>0</v>
      </c>
      <c r="CJ59" s="43">
        <f t="shared" si="14"/>
        <v>946249.991226916</v>
      </c>
      <c r="CL59" s="8"/>
      <c r="CM59" s="9"/>
      <c r="CN59" s="21"/>
      <c r="CP59" s="9"/>
      <c r="CQ59" s="9"/>
    </row>
    <row r="60" spans="1:95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">
        <f t="shared" si="7"/>
        <v>47</v>
      </c>
      <c r="BN60" s="90">
        <f t="shared" si="17"/>
        <v>445786.3312826321</v>
      </c>
      <c r="BO60" s="91"/>
      <c r="BP60" s="91"/>
      <c r="BQ60" s="91"/>
      <c r="BR60" s="92"/>
      <c r="BS60" s="41">
        <f t="shared" si="18"/>
        <v>84600</v>
      </c>
      <c r="BT60" s="33">
        <f>+BN60-BS60-SUM($BT$14:BT59)</f>
        <v>25177.508611569647</v>
      </c>
      <c r="BU60" s="34">
        <f t="shared" si="8"/>
        <v>3100</v>
      </c>
      <c r="BV60" s="27">
        <f t="shared" si="4"/>
        <v>5519.377152892412</v>
      </c>
      <c r="BW60" s="27">
        <f t="shared" si="15"/>
        <v>773295.8362856373</v>
      </c>
      <c r="BX60" s="27">
        <f>+BW60-$BW$13-(SUM($BX$14:BX59))</f>
        <v>43771.46243126271</v>
      </c>
      <c r="BY60" s="27">
        <f t="shared" si="5"/>
        <v>10167.865607815678</v>
      </c>
      <c r="BZ60" s="27">
        <f t="shared" si="6"/>
        <v>15687.24276070809</v>
      </c>
      <c r="CC60" s="19">
        <f t="shared" si="19"/>
        <v>47</v>
      </c>
      <c r="CD60" s="19">
        <f t="shared" si="20"/>
        <v>2050</v>
      </c>
      <c r="CE60" s="15">
        <f t="shared" si="10"/>
        <v>7065.336728204271</v>
      </c>
      <c r="CF60" s="36">
        <f t="shared" si="11"/>
        <v>83097.3728552216</v>
      </c>
      <c r="CG60" s="42">
        <f t="shared" si="12"/>
        <v>0.13202331685272276</v>
      </c>
      <c r="CH60" s="43">
        <f t="shared" si="21"/>
        <v>10970.790786093765</v>
      </c>
      <c r="CI60" s="38">
        <f t="shared" si="16"/>
        <v>0</v>
      </c>
      <c r="CJ60" s="43">
        <f t="shared" si="14"/>
        <v>957220.7820130098</v>
      </c>
      <c r="CL60" s="8"/>
      <c r="CM60" s="9"/>
      <c r="CN60" s="21"/>
      <c r="CP60" s="9"/>
      <c r="CQ60" s="9"/>
    </row>
    <row r="61" spans="1:95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">
        <f t="shared" si="7"/>
        <v>48</v>
      </c>
      <c r="BN61" s="90">
        <f t="shared" si="17"/>
        <v>474382.4904108959</v>
      </c>
      <c r="BO61" s="91"/>
      <c r="BP61" s="91"/>
      <c r="BQ61" s="91"/>
      <c r="BR61" s="92"/>
      <c r="BS61" s="41">
        <f t="shared" si="18"/>
        <v>86400</v>
      </c>
      <c r="BT61" s="33">
        <f>+BN61-BS61-SUM($BT$14:BT60)</f>
        <v>26796.159128263826</v>
      </c>
      <c r="BU61" s="34">
        <f t="shared" si="8"/>
        <v>3100</v>
      </c>
      <c r="BV61" s="27">
        <f t="shared" si="4"/>
        <v>5924.039782065956</v>
      </c>
      <c r="BW61" s="27">
        <f t="shared" si="15"/>
        <v>819693.5864627754</v>
      </c>
      <c r="BX61" s="27">
        <f>+BW61-$BW$13-(SUM($BX$14:BX60))</f>
        <v>46397.75017713802</v>
      </c>
      <c r="BY61" s="27">
        <f t="shared" si="5"/>
        <v>10824.437544284505</v>
      </c>
      <c r="BZ61" s="27">
        <f t="shared" si="6"/>
        <v>16748.47732635046</v>
      </c>
      <c r="CC61" s="19">
        <f t="shared" si="19"/>
        <v>48</v>
      </c>
      <c r="CD61" s="19">
        <f t="shared" si="20"/>
        <v>2051</v>
      </c>
      <c r="CE61" s="15">
        <f t="shared" si="10"/>
        <v>7206.643462768357</v>
      </c>
      <c r="CF61" s="36">
        <f t="shared" si="11"/>
        <v>84759.32031232606</v>
      </c>
      <c r="CG61" s="42">
        <f t="shared" si="12"/>
        <v>0.12633810225140935</v>
      </c>
      <c r="CH61" s="43">
        <f t="shared" si="21"/>
        <v>10708.331676378608</v>
      </c>
      <c r="CI61" s="38">
        <f t="shared" si="16"/>
        <v>0</v>
      </c>
      <c r="CJ61" s="43">
        <f t="shared" si="14"/>
        <v>967929.1136893884</v>
      </c>
      <c r="CL61" s="8"/>
      <c r="CM61" s="9"/>
      <c r="CN61" s="21"/>
      <c r="CP61" s="9"/>
      <c r="CQ61" s="9"/>
    </row>
    <row r="62" spans="1:95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">
        <f t="shared" si="7"/>
        <v>49</v>
      </c>
      <c r="BN62" s="90">
        <f t="shared" si="17"/>
        <v>504694.41908685555</v>
      </c>
      <c r="BO62" s="91"/>
      <c r="BP62" s="91"/>
      <c r="BQ62" s="91"/>
      <c r="BR62" s="92"/>
      <c r="BS62" s="41">
        <f t="shared" si="18"/>
        <v>88200</v>
      </c>
      <c r="BT62" s="33">
        <f>+BN62-BS62-SUM($BT$14:BT61)</f>
        <v>28511.928675959643</v>
      </c>
      <c r="BU62" s="34">
        <f t="shared" si="8"/>
        <v>3100</v>
      </c>
      <c r="BV62" s="27">
        <f t="shared" si="4"/>
        <v>6352.98216898991</v>
      </c>
      <c r="BW62" s="27">
        <f t="shared" si="15"/>
        <v>868875.201650542</v>
      </c>
      <c r="BX62" s="27">
        <f>+BW62-$BW$13-(SUM($BX$14:BX61))</f>
        <v>49181.61518776661</v>
      </c>
      <c r="BY62" s="27">
        <f t="shared" si="5"/>
        <v>11520.403796941651</v>
      </c>
      <c r="BZ62" s="27">
        <f t="shared" si="6"/>
        <v>17873.38596593156</v>
      </c>
      <c r="CC62" s="19">
        <f t="shared" si="19"/>
        <v>49</v>
      </c>
      <c r="CD62" s="19">
        <f t="shared" si="20"/>
        <v>2052</v>
      </c>
      <c r="CE62" s="15">
        <f t="shared" si="10"/>
        <v>7350.776332023724</v>
      </c>
      <c r="CF62" s="36">
        <f t="shared" si="11"/>
        <v>86454.50671857258</v>
      </c>
      <c r="CG62" s="42">
        <f t="shared" si="12"/>
        <v>0.12089770550374102</v>
      </c>
      <c r="CH62" s="43">
        <f t="shared" si="21"/>
        <v>10452.151492733186</v>
      </c>
      <c r="CI62" s="38">
        <f t="shared" si="16"/>
        <v>0</v>
      </c>
      <c r="CJ62" s="43">
        <f t="shared" si="14"/>
        <v>978381.2651821215</v>
      </c>
      <c r="CL62" s="8"/>
      <c r="CM62" s="9"/>
      <c r="CN62" s="21"/>
      <c r="CP62" s="9"/>
      <c r="CQ62" s="9"/>
    </row>
    <row r="63" spans="1:95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">
        <f t="shared" si="7"/>
        <v>50</v>
      </c>
      <c r="BN63" s="90">
        <f t="shared" si="17"/>
        <v>536825.0634833728</v>
      </c>
      <c r="BO63" s="91"/>
      <c r="BP63" s="91"/>
      <c r="BQ63" s="91"/>
      <c r="BR63" s="92"/>
      <c r="BS63" s="41">
        <f t="shared" si="18"/>
        <v>90000</v>
      </c>
      <c r="BT63" s="33">
        <f>+BN63-BS63-SUM($BT$14:BT62)</f>
        <v>30330.64439651725</v>
      </c>
      <c r="BU63" s="34">
        <f t="shared" si="8"/>
        <v>3100</v>
      </c>
      <c r="BV63" s="27">
        <f t="shared" si="4"/>
        <v>6807.661099129312</v>
      </c>
      <c r="BW63" s="27">
        <f t="shared" si="15"/>
        <v>921007.7137495745</v>
      </c>
      <c r="BX63" s="27">
        <f>+BW63-$BW$13-(SUM($BX$14:BX62))</f>
        <v>52132.51209903252</v>
      </c>
      <c r="BY63" s="27">
        <f t="shared" si="5"/>
        <v>12258.12802475813</v>
      </c>
      <c r="BZ63" s="27">
        <f t="shared" si="6"/>
        <v>19065.789123887444</v>
      </c>
      <c r="CL63" s="8"/>
      <c r="CM63" s="9"/>
      <c r="CN63" s="21"/>
      <c r="CP63" s="9"/>
      <c r="CQ63" s="9"/>
    </row>
    <row r="64" spans="1:63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</row>
    <row r="65" spans="1:63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</row>
    <row r="66" spans="1:63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</row>
    <row r="67" spans="1:63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</row>
    <row r="68" spans="1:63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</row>
    <row r="69" spans="1:63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</row>
    <row r="70" spans="1:63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</row>
    <row r="71" spans="1:63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</row>
    <row r="72" spans="1:63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</row>
    <row r="73" spans="1:63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</row>
    <row r="74" spans="1:63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</row>
    <row r="75" spans="1:63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10"/>
      <c r="BC75" s="10"/>
      <c r="BD75" s="10"/>
      <c r="BE75" s="10"/>
      <c r="BF75" s="10"/>
      <c r="BG75" s="10"/>
      <c r="BH75" s="10"/>
      <c r="BI75" s="10"/>
      <c r="BJ75" s="10"/>
      <c r="BK75" s="10"/>
    </row>
    <row r="76" spans="1:63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10"/>
      <c r="BC76" s="10"/>
      <c r="BD76" s="10"/>
      <c r="BE76" s="10"/>
      <c r="BF76" s="10"/>
      <c r="BG76" s="10"/>
      <c r="BH76" s="10"/>
      <c r="BI76" s="10"/>
      <c r="BJ76" s="10"/>
      <c r="BK76" s="10"/>
    </row>
    <row r="77" spans="1:6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10"/>
      <c r="BC77" s="10"/>
      <c r="BD77" s="10"/>
      <c r="BE77" s="10"/>
      <c r="BF77" s="10"/>
      <c r="BG77" s="10"/>
      <c r="BH77" s="10"/>
      <c r="BI77" s="10"/>
      <c r="BJ77" s="10"/>
      <c r="BK77" s="10"/>
    </row>
    <row r="78" spans="1:6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10"/>
      <c r="BC78" s="10"/>
      <c r="BD78" s="10"/>
      <c r="BE78" s="10"/>
      <c r="BF78" s="10"/>
      <c r="BG78" s="10"/>
      <c r="BH78" s="10"/>
      <c r="BI78" s="10"/>
      <c r="BJ78" s="10"/>
      <c r="BK78" s="10"/>
    </row>
    <row r="79" spans="1:63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10"/>
      <c r="BC79" s="10"/>
      <c r="BD79" s="10"/>
      <c r="BE79" s="10"/>
      <c r="BF79" s="10"/>
      <c r="BG79" s="10"/>
      <c r="BH79" s="10"/>
      <c r="BI79" s="10"/>
      <c r="BJ79" s="10"/>
      <c r="BK79" s="10"/>
    </row>
    <row r="80" spans="1:63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10"/>
      <c r="BC80" s="10"/>
      <c r="BD80" s="10"/>
      <c r="BE80" s="10"/>
      <c r="BF80" s="10"/>
      <c r="BG80" s="10"/>
      <c r="BH80" s="10"/>
      <c r="BI80" s="10"/>
      <c r="BJ80" s="10"/>
      <c r="BK80" s="10"/>
    </row>
    <row r="81" spans="1:63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10"/>
      <c r="BC81" s="10"/>
      <c r="BD81" s="10"/>
      <c r="BE81" s="10"/>
      <c r="BF81" s="10"/>
      <c r="BG81" s="10"/>
      <c r="BH81" s="10"/>
      <c r="BI81" s="10"/>
      <c r="BJ81" s="10"/>
      <c r="BK81" s="10"/>
    </row>
    <row r="82" spans="1:63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10"/>
      <c r="BC82" s="10"/>
      <c r="BD82" s="10"/>
      <c r="BE82" s="10"/>
      <c r="BF82" s="10"/>
      <c r="BG82" s="10"/>
      <c r="BH82" s="10"/>
      <c r="BI82" s="10"/>
      <c r="BJ82" s="10"/>
      <c r="BK82" s="10"/>
    </row>
    <row r="83" spans="1:6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10"/>
      <c r="BC83" s="10"/>
      <c r="BD83" s="10"/>
      <c r="BE83" s="10"/>
      <c r="BF83" s="10"/>
      <c r="BG83" s="10"/>
      <c r="BH83" s="10"/>
      <c r="BI83" s="10"/>
      <c r="BJ83" s="10"/>
      <c r="BK83" s="10"/>
    </row>
    <row r="84" spans="1:63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10"/>
      <c r="BC84" s="10"/>
      <c r="BD84" s="10"/>
      <c r="BE84" s="10"/>
      <c r="BF84" s="10"/>
      <c r="BG84" s="10"/>
      <c r="BH84" s="10"/>
      <c r="BI84" s="10"/>
      <c r="BJ84" s="10"/>
      <c r="BK84" s="10"/>
    </row>
    <row r="85" spans="1:63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10"/>
      <c r="BC85" s="10"/>
      <c r="BD85" s="10"/>
      <c r="BE85" s="10"/>
      <c r="BF85" s="10"/>
      <c r="BG85" s="10"/>
      <c r="BH85" s="10"/>
      <c r="BI85" s="10"/>
      <c r="BJ85" s="10"/>
      <c r="BK85" s="10"/>
    </row>
    <row r="86" spans="1:63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10"/>
      <c r="BC86" s="10"/>
      <c r="BD86" s="10"/>
      <c r="BE86" s="10"/>
      <c r="BF86" s="10"/>
      <c r="BG86" s="10"/>
      <c r="BH86" s="10"/>
      <c r="BI86" s="10"/>
      <c r="BJ86" s="10"/>
      <c r="BK86" s="10"/>
    </row>
    <row r="87" spans="1:63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10"/>
      <c r="BC87" s="10"/>
      <c r="BD87" s="10"/>
      <c r="BE87" s="10"/>
      <c r="BF87" s="10"/>
      <c r="BG87" s="10"/>
      <c r="BH87" s="10"/>
      <c r="BI87" s="10"/>
      <c r="BJ87" s="10"/>
      <c r="BK87" s="10"/>
    </row>
    <row r="88" spans="1:63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10"/>
      <c r="BC88" s="10"/>
      <c r="BD88" s="10"/>
      <c r="BE88" s="10"/>
      <c r="BF88" s="10"/>
      <c r="BG88" s="10"/>
      <c r="BH88" s="10"/>
      <c r="BI88" s="10"/>
      <c r="BJ88" s="10"/>
      <c r="BK88" s="10"/>
    </row>
    <row r="89" spans="1:63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10"/>
      <c r="BC89" s="10"/>
      <c r="BD89" s="10"/>
      <c r="BE89" s="10"/>
      <c r="BF89" s="10"/>
      <c r="BG89" s="10"/>
      <c r="BH89" s="10"/>
      <c r="BI89" s="10"/>
      <c r="BJ89" s="10"/>
      <c r="BK89" s="10"/>
    </row>
    <row r="90" spans="1:63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10"/>
      <c r="BC90" s="10"/>
      <c r="BD90" s="10"/>
      <c r="BE90" s="10"/>
      <c r="BF90" s="10"/>
      <c r="BG90" s="10"/>
      <c r="BH90" s="10"/>
      <c r="BI90" s="10"/>
      <c r="BJ90" s="10"/>
      <c r="BK90" s="10"/>
    </row>
    <row r="91" spans="1:63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10"/>
      <c r="BC91" s="10"/>
      <c r="BD91" s="10"/>
      <c r="BE91" s="10"/>
      <c r="BF91" s="10"/>
      <c r="BG91" s="10"/>
      <c r="BH91" s="10"/>
      <c r="BI91" s="10"/>
      <c r="BJ91" s="10"/>
      <c r="BK91" s="10"/>
    </row>
    <row r="92" spans="1:63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10"/>
      <c r="BC92" s="10"/>
      <c r="BD92" s="10"/>
      <c r="BE92" s="10"/>
      <c r="BF92" s="10"/>
      <c r="BG92" s="10"/>
      <c r="BH92" s="10"/>
      <c r="BI92" s="10"/>
      <c r="BJ92" s="10"/>
      <c r="BK92" s="10"/>
    </row>
    <row r="93" spans="1:63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10"/>
      <c r="BC93" s="10"/>
      <c r="BD93" s="10"/>
      <c r="BE93" s="10"/>
      <c r="BF93" s="10"/>
      <c r="BG93" s="10"/>
      <c r="BH93" s="10"/>
      <c r="BI93" s="10"/>
      <c r="BJ93" s="10"/>
      <c r="BK93" s="10"/>
    </row>
    <row r="94" spans="1:63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10"/>
      <c r="BC94" s="10"/>
      <c r="BD94" s="10"/>
      <c r="BE94" s="10"/>
      <c r="BF94" s="10"/>
      <c r="BG94" s="10"/>
      <c r="BH94" s="10"/>
      <c r="BI94" s="10"/>
      <c r="BJ94" s="10"/>
      <c r="BK94" s="10"/>
    </row>
    <row r="95" spans="1:63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10"/>
      <c r="BC95" s="10"/>
      <c r="BD95" s="10"/>
      <c r="BE95" s="10"/>
      <c r="BF95" s="10"/>
      <c r="BG95" s="10"/>
      <c r="BH95" s="10"/>
      <c r="BI95" s="10"/>
      <c r="BJ95" s="10"/>
      <c r="BK95" s="10"/>
    </row>
    <row r="96" spans="1:63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10"/>
      <c r="BC96" s="10"/>
      <c r="BD96" s="10"/>
      <c r="BE96" s="10"/>
      <c r="BF96" s="10"/>
      <c r="BG96" s="10"/>
      <c r="BH96" s="10"/>
      <c r="BI96" s="10"/>
      <c r="BJ96" s="10"/>
      <c r="BK96" s="10"/>
    </row>
    <row r="97" spans="1:63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10"/>
      <c r="BC97" s="10"/>
      <c r="BD97" s="10"/>
      <c r="BE97" s="10"/>
      <c r="BF97" s="10"/>
      <c r="BG97" s="10"/>
      <c r="BH97" s="10"/>
      <c r="BI97" s="10"/>
      <c r="BJ97" s="10"/>
      <c r="BK97" s="10"/>
    </row>
    <row r="98" spans="1:63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10"/>
      <c r="BC98" s="10"/>
      <c r="BD98" s="10"/>
      <c r="BE98" s="10"/>
      <c r="BF98" s="10"/>
      <c r="BG98" s="10"/>
      <c r="BH98" s="10"/>
      <c r="BI98" s="10"/>
      <c r="BJ98" s="10"/>
      <c r="BK98" s="10"/>
    </row>
    <row r="99" spans="1:63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10"/>
      <c r="BC99" s="10"/>
      <c r="BD99" s="10"/>
      <c r="BE99" s="10"/>
      <c r="BF99" s="10"/>
      <c r="BG99" s="10"/>
      <c r="BH99" s="10"/>
      <c r="BI99" s="10"/>
      <c r="BJ99" s="10"/>
      <c r="BK99" s="10"/>
    </row>
    <row r="100" spans="1:63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</row>
    <row r="101" spans="1:63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</row>
    <row r="102" spans="1:63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</row>
    <row r="103" spans="1:63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</row>
    <row r="104" spans="1:63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</row>
    <row r="105" spans="1:63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</row>
    <row r="106" spans="1:63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</row>
    <row r="107" spans="1:63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</row>
    <row r="108" spans="1:63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</row>
    <row r="109" spans="1:63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</row>
    <row r="110" spans="1:63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</row>
    <row r="111" spans="1:63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</row>
    <row r="112" spans="1:63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</row>
    <row r="113" spans="1:63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</row>
    <row r="114" spans="1:63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</row>
    <row r="115" spans="1:6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</row>
    <row r="116" spans="1:6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</row>
    <row r="117" spans="54:63" ht="12.75"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</row>
    <row r="118" spans="54:63" ht="12.75"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</row>
    <row r="119" spans="54:63" ht="12.75"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</row>
    <row r="120" spans="54:63" ht="12.75"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</row>
    <row r="121" spans="54:63" ht="12.75"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</row>
    <row r="122" spans="54:63" ht="12.75"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</row>
    <row r="123" spans="54:63" ht="12.75"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</row>
    <row r="124" spans="54:63" ht="12.75"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</row>
    <row r="125" spans="54:63" ht="12.75"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</row>
    <row r="126" spans="54:63" ht="12.75"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</row>
    <row r="127" spans="54:63" ht="12.75"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</row>
    <row r="128" spans="54:63" ht="12.75"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</row>
    <row r="129" spans="54:63" ht="12.75"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</row>
    <row r="130" spans="54:63" ht="12.75"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</row>
    <row r="131" spans="54:63" ht="12.75"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</row>
    <row r="132" spans="54:63" ht="12.75"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</row>
    <row r="133" spans="54:63" ht="12.75"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</row>
    <row r="134" spans="54:63" ht="12.75"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</row>
    <row r="135" spans="54:63" ht="12.75"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</row>
    <row r="136" spans="54:63" ht="12.75"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</row>
    <row r="137" spans="54:63" ht="12.75"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</row>
    <row r="138" spans="54:63" ht="12.75"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</row>
    <row r="139" spans="54:63" ht="12.75"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</row>
    <row r="140" spans="54:63" ht="12.75"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</row>
    <row r="141" spans="54:63" ht="12.75"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</row>
    <row r="142" spans="54:63" ht="12.75"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</row>
    <row r="143" spans="54:63" ht="12.75"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</row>
    <row r="144" spans="54:63" ht="12.75"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</row>
    <row r="145" spans="54:63" ht="12.75"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</row>
    <row r="146" spans="54:63" ht="12.75"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</row>
    <row r="147" spans="54:63" ht="12.75"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</row>
    <row r="148" spans="54:63" ht="12.75"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</row>
    <row r="149" spans="54:63" ht="12.75"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</row>
    <row r="150" spans="54:63" ht="12.75"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</row>
    <row r="151" spans="54:63" ht="12.75"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</row>
    <row r="152" spans="54:63" ht="12.75"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</row>
    <row r="153" spans="54:63" ht="12.75"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</row>
    <row r="154" spans="54:63" ht="12.75"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</row>
    <row r="155" spans="54:63" ht="12.75"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</row>
    <row r="156" spans="54:63" ht="12.75"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</row>
    <row r="157" spans="54:63" ht="12.75"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</row>
    <row r="158" spans="54:63" ht="12.75"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</row>
    <row r="159" spans="54:63" ht="12.75"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</row>
    <row r="160" spans="54:63" ht="12.75"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</row>
    <row r="161" spans="54:63" ht="12.75"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</row>
    <row r="162" spans="54:63" ht="12.75"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</row>
    <row r="163" spans="54:63" ht="12.75"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</row>
    <row r="164" spans="54:63" ht="12.75"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</row>
    <row r="165" spans="54:63" ht="12.75"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</row>
    <row r="166" spans="54:63" ht="12.75"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</row>
  </sheetData>
  <mergeCells count="84">
    <mergeCell ref="AK28:AQ28"/>
    <mergeCell ref="AC27:AF27"/>
    <mergeCell ref="AL18:AO18"/>
    <mergeCell ref="Q15:T15"/>
    <mergeCell ref="Q20:T20"/>
    <mergeCell ref="X20:AB20"/>
    <mergeCell ref="AL22:AP22"/>
    <mergeCell ref="AM26:AO26"/>
    <mergeCell ref="Z21:AB21"/>
    <mergeCell ref="BN31:BR31"/>
    <mergeCell ref="BN24:BR24"/>
    <mergeCell ref="BN25:BR25"/>
    <mergeCell ref="BN26:BR26"/>
    <mergeCell ref="BN27:BR27"/>
    <mergeCell ref="BN30:BR30"/>
    <mergeCell ref="BN28:BR28"/>
    <mergeCell ref="BN29:BR29"/>
    <mergeCell ref="AM31:AO31"/>
    <mergeCell ref="BN32:BR32"/>
    <mergeCell ref="BN33:BR33"/>
    <mergeCell ref="BN34:BR34"/>
    <mergeCell ref="BN35:BR35"/>
    <mergeCell ref="BN36:BR36"/>
    <mergeCell ref="BN37:BR37"/>
    <mergeCell ref="BN38:BR38"/>
    <mergeCell ref="BN39:BR39"/>
    <mergeCell ref="BN40:BR40"/>
    <mergeCell ref="BN41:BR41"/>
    <mergeCell ref="BN42:BR42"/>
    <mergeCell ref="BN43:BR43"/>
    <mergeCell ref="BN53:BR53"/>
    <mergeCell ref="BN44:BR44"/>
    <mergeCell ref="BN45:BR45"/>
    <mergeCell ref="BN46:BR46"/>
    <mergeCell ref="BN47:BR47"/>
    <mergeCell ref="BN48:BR48"/>
    <mergeCell ref="BN49:BR49"/>
    <mergeCell ref="BN50:BR50"/>
    <mergeCell ref="BN51:BR51"/>
    <mergeCell ref="BN52:BR52"/>
    <mergeCell ref="BN63:BR63"/>
    <mergeCell ref="BN58:BR58"/>
    <mergeCell ref="BN60:BR60"/>
    <mergeCell ref="BN61:BR61"/>
    <mergeCell ref="BN59:BR59"/>
    <mergeCell ref="BN62:BR62"/>
    <mergeCell ref="BN55:BR55"/>
    <mergeCell ref="BN56:BR56"/>
    <mergeCell ref="BN54:BR54"/>
    <mergeCell ref="BN57:BR57"/>
    <mergeCell ref="AL15:AO15"/>
    <mergeCell ref="AL12:AO12"/>
    <mergeCell ref="X9:AB9"/>
    <mergeCell ref="DE15:DG15"/>
    <mergeCell ref="CW15:DA15"/>
    <mergeCell ref="CW13:DA13"/>
    <mergeCell ref="DE13:DH13"/>
    <mergeCell ref="DE14:DG14"/>
    <mergeCell ref="CW14:DA14"/>
    <mergeCell ref="E20:I20"/>
    <mergeCell ref="Q12:T12"/>
    <mergeCell ref="Q13:T13"/>
    <mergeCell ref="Q9:T9"/>
    <mergeCell ref="Q11:T11"/>
    <mergeCell ref="E9:I9"/>
    <mergeCell ref="Q14:T14"/>
    <mergeCell ref="BN16:BR16"/>
    <mergeCell ref="BN17:BR17"/>
    <mergeCell ref="BN22:BR22"/>
    <mergeCell ref="BN23:BR23"/>
    <mergeCell ref="BN18:BR18"/>
    <mergeCell ref="BN19:BR19"/>
    <mergeCell ref="BN20:BR20"/>
    <mergeCell ref="BN21:BR21"/>
    <mergeCell ref="BO8:BQ8"/>
    <mergeCell ref="BO9:BQ9"/>
    <mergeCell ref="BN14:BR14"/>
    <mergeCell ref="BN15:BR15"/>
    <mergeCell ref="E24:I24"/>
    <mergeCell ref="L24:N24"/>
    <mergeCell ref="Q24:T24"/>
    <mergeCell ref="E28:I28"/>
    <mergeCell ref="Q28:T28"/>
    <mergeCell ref="Q26:T26"/>
  </mergeCells>
  <hyperlinks>
    <hyperlink ref="AC27:AF27" r:id="rId1" display="zurück"/>
  </hyperlinks>
  <printOptions/>
  <pageMargins left="0.7874015748031497" right="0.7874015748031497" top="0.984251968503937" bottom="0.1968503937007874" header="0.5118110236220472" footer="0.5118110236220472"/>
  <pageSetup horizontalDpi="300" verticalDpi="300" orientation="landscape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Räther</dc:creator>
  <cp:keywords/>
  <dc:description/>
  <cp:lastModifiedBy>Wolfgang Räther</cp:lastModifiedBy>
  <cp:lastPrinted>2004-01-16T13:31:21Z</cp:lastPrinted>
  <dcterms:created xsi:type="dcterms:W3CDTF">2003-08-05T09:13:18Z</dcterms:created>
  <dcterms:modified xsi:type="dcterms:W3CDTF">2005-08-20T12:53:52Z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